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trlProps/ctrlProp1.xml" ContentType="application/vnd.ms-excel.controlproperties+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16.xml" ContentType="application/vnd.openxmlformats-officedocument.drawing+xml"/>
  <Override PartName="/xl/ctrlProps/ctrlProp4.xml" ContentType="application/vnd.ms-excel.controlproperties+xml"/>
  <Override PartName="/xl/ctrlProps/ctrlProp5.xml" ContentType="application/vnd.ms-excel.controlpropertie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0"/>
  <workbookPr codeName="ThisWorkbook" defaultThemeVersion="124226"/>
  <mc:AlternateContent xmlns:mc="http://schemas.openxmlformats.org/markup-compatibility/2006">
    <mc:Choice Requires="x15">
      <x15ac:absPath xmlns:x15ac="http://schemas.microsoft.com/office/spreadsheetml/2010/11/ac" url="/Users/nnatt/Desktop/"/>
    </mc:Choice>
  </mc:AlternateContent>
  <xr:revisionPtr revIDLastSave="0" documentId="8_{2BF7CD50-100D-3548-8523-0A79AE59FB11}" xr6:coauthVersionLast="36" xr6:coauthVersionMax="36" xr10:uidLastSave="{00000000-0000-0000-0000-000000000000}"/>
  <bookViews>
    <workbookView xWindow="240" yWindow="460" windowWidth="25820" windowHeight="23340" tabRatio="795" firstSheet="18" activeTab="19" xr2:uid="{00000000-000D-0000-FFFF-FFFF00000000}"/>
  </bookViews>
  <sheets>
    <sheet name="Cover" sheetId="1" r:id="rId1"/>
    <sheet name="Primary Input" sheetId="2" r:id="rId2"/>
    <sheet name="Secondary Input" sheetId="15" r:id="rId3"/>
    <sheet name="Threshold Requirements" sheetId="37" r:id="rId4"/>
    <sheet name="Rental Income" sheetId="4" r:id="rId5"/>
    <sheet name="Rehab Construction" sheetId="9" r:id="rId6"/>
    <sheet name="Reserve Needs" sheetId="11" r:id="rId7"/>
    <sheet name="Reserve 20 Yr Schedule" sheetId="10" r:id="rId8"/>
    <sheet name="Syndication" sheetId="21" r:id="rId9"/>
    <sheet name="Loan Information" sheetId="14" r:id="rId10"/>
    <sheet name="Sources&amp;Uses" sheetId="12" r:id="rId11"/>
    <sheet name="Financing Cert" sheetId="24" r:id="rId12"/>
    <sheet name="Amortization" sheetId="17" r:id="rId13"/>
    <sheet name="Pro Forma Calculation" sheetId="7" r:id="rId14"/>
    <sheet name="Pro Forma" sheetId="8" r:id="rId15"/>
    <sheet name="Building Information" sheetId="13" r:id="rId16"/>
    <sheet name="Basis Calculation" sheetId="3" r:id="rId17"/>
    <sheet name="Project Schedule" sheetId="18" r:id="rId18"/>
    <sheet name="Development Team" sheetId="48" r:id="rId19"/>
    <sheet name="Selection Criteria" sheetId="49" r:id="rId20"/>
    <sheet name="Auditor" sheetId="22" r:id="rId21"/>
    <sheet name="Checklist" sheetId="56" r:id="rId22"/>
    <sheet name="Certification" sheetId="36" r:id="rId23"/>
    <sheet name="Appendix 1" sheetId="26" r:id="rId24"/>
    <sheet name="Appendix 2" sheetId="29" r:id="rId25"/>
    <sheet name="Appendix 3" sheetId="27" r:id="rId26"/>
    <sheet name="Appendix 4" sheetId="32" r:id="rId27"/>
    <sheet name="Appendix 11" sheetId="28" r:id="rId28"/>
    <sheet name="Appendix 13" sheetId="33" r:id="rId29"/>
    <sheet name="Appendix 33" sheetId="34" r:id="rId30"/>
    <sheet name="Appendix 40" sheetId="30" r:id="rId31"/>
    <sheet name="Appendix 41" sheetId="31" r:id="rId32"/>
    <sheet name="Appendix 42" sheetId="44" r:id="rId33"/>
    <sheet name="DemandCert" sheetId="40" r:id="rId34"/>
    <sheet name="CEO Notification" sheetId="41" r:id="rId35"/>
    <sheet name="Developer Experience" sheetId="51" r:id="rId36"/>
    <sheet name="Management Experience" sheetId="52" r:id="rId37"/>
    <sheet name="5020" sheetId="6" state="hidden" r:id="rId38"/>
    <sheet name="4060" sheetId="5" state="hidden" r:id="rId39"/>
  </sheets>
  <externalReferences>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s>
  <definedNames>
    <definedName name="_total">[1]Subsidy!$AK$48</definedName>
    <definedName name="acq_cost_other_1">'[1]Sources &amp; Uses'!$F$89</definedName>
    <definedName name="acq_cost_other_2">'[1]Sources &amp; Uses'!$F$90</definedName>
    <definedName name="acq_inbasis">'[1]Sources &amp; Uses'!$H$93</definedName>
    <definedName name="acq_total">'[1]Sources &amp; Uses'!$F$93</definedName>
    <definedName name="Application_and_Tax_Credit_Fees">'[1]Sources &amp; Uses'!$F$112</definedName>
    <definedName name="Architects_Fee_Design">'[1]Sources &amp; Uses'!$F$99</definedName>
    <definedName name="Architects_Fee_Supervisory">'[1]Sources &amp; Uses'!$F$100</definedName>
    <definedName name="bld_type_3">[1]General!$I$131</definedName>
    <definedName name="Bldg">[2]StartInput!$AC$126:$AC$128</definedName>
    <definedName name="Bond_Premium">'[1]Sources &amp; Uses'!$F$71</definedName>
    <definedName name="builder_profit_limit">'[1]Sources &amp; Uses'!$H$69</definedName>
    <definedName name="Builders_Profit">'[1]Sources &amp; Uses'!$F$69</definedName>
    <definedName name="building_acces_area" localSheetId="21">[3]General!$I$214</definedName>
    <definedName name="building_acces_area" localSheetId="35">[4]General!$I$214</definedName>
    <definedName name="building_acces_area" localSheetId="18">[4]General!$I$214</definedName>
    <definedName name="building_acces_area" localSheetId="36">[4]General!$I$214</definedName>
    <definedName name="building_acces_area" localSheetId="19">[4]General!$I$214</definedName>
    <definedName name="building_acces_area">[5]General!$I$214</definedName>
    <definedName name="building_resid_area" localSheetId="21">[3]General!$I$212</definedName>
    <definedName name="building_resid_area" localSheetId="35">[4]General!$I$212</definedName>
    <definedName name="building_resid_area" localSheetId="18">[4]General!$I$212</definedName>
    <definedName name="building_resid_area" localSheetId="36">[4]General!$I$212</definedName>
    <definedName name="building_resid_area" localSheetId="19">[4]General!$I$212</definedName>
    <definedName name="building_resid_area">[5]General!$I$212</definedName>
    <definedName name="capyrs">'[6]DS&amp;LoanSizing'!$AF$81:$AF$120</definedName>
    <definedName name="CDBG_grant_total">[1]Subsidy!$C$48</definedName>
    <definedName name="CDBG_hard_total">[1]Subsidy!$W$48</definedName>
    <definedName name="CDBG_soft_total">[1]Subsidy!$L$48</definedName>
    <definedName name="census" localSheetId="21">#REF!</definedName>
    <definedName name="census">'Secondary Input'!$E$21</definedName>
    <definedName name="character" localSheetId="21">#REF!</definedName>
    <definedName name="character">'Primary Input'!$Q$8:$Q$15</definedName>
    <definedName name="Consultant_Fees">'[1]Sources &amp; Uses'!$F$116</definedName>
    <definedName name="Contingency_Fee">'[1]Sources &amp; Uses'!$F$114</definedName>
    <definedName name="Contrib_Total">'[1]Sources &amp; Uses'!$F$228</definedName>
    <definedName name="Cost_Certification_Audit_Fee">'[1]Sources &amp; Uses'!$F$111</definedName>
    <definedName name="cost_land">'[1]Sources &amp; Uses'!$F$87</definedName>
    <definedName name="Cr_Enh_Other_total">[1]Subsidy!$AN$48</definedName>
    <definedName name="credit_enhancement_subtotal">[1]Subsidy!$AN$49</definedName>
    <definedName name="credits" localSheetId="21">'[7]Primary Input'!$E$20</definedName>
    <definedName name="credits">'Primary Input'!$E$20</definedName>
    <definedName name="Deferred_Dev_Fee_Total">'[1]Sources &amp; Uses'!$F$234</definedName>
    <definedName name="dev_fee_limit">'[1]Sources &amp; Uses'!$H$115</definedName>
    <definedName name="dev_syndcost_total">'[1]Sources &amp; Uses'!$F$139</definedName>
    <definedName name="dev_syndcost1_val">'[1]Sources &amp; Uses'!$F$135</definedName>
    <definedName name="Developer_Fee">'[1]Sources &amp; Uses'!$F$115</definedName>
    <definedName name="Econ">[2]StartInput!$X$31:$X$33</definedName>
    <definedName name="Examination_Fee">'[1]Sources &amp; Uses'!$F$105</definedName>
    <definedName name="Extraordinary_Reserve">'[1]Sources &amp; Uses'!$F$144</definedName>
    <definedName name="Fees_Other_total">'[1]Sources &amp; Uses'!$F$117</definedName>
    <definedName name="FHAtype">[2]StartInput!$X$12:$X$20</definedName>
    <definedName name="Financing_Fee">'[1]Sources &amp; Uses'!$F$107</definedName>
    <definedName name="FinMthd">'[6]DS&amp;LoanSizing'!$AE$81:$AE$84</definedName>
    <definedName name="footer">'[1]Print Out'!$AA$255</definedName>
    <definedName name="Fund" localSheetId="21">[8]Sheet2!$A$3:$A$12</definedName>
    <definedName name="Fund" localSheetId="35">[9]Sheet2!$A$3:$A$12</definedName>
    <definedName name="Fund" localSheetId="18">[9]Sheet2!$A$3:$A$12</definedName>
    <definedName name="Fund" localSheetId="36">[9]Sheet2!$A$3:$A$12</definedName>
    <definedName name="Fund" localSheetId="19">[9]Sheet2!$A$3:$A$12</definedName>
    <definedName name="Fund">[10]Sheet2!$A$3:$A$12</definedName>
    <definedName name="General_Overhead">'[1]Sources &amp; Uses'!$F$68</definedName>
    <definedName name="general_overhead_limit">'[1]Sources &amp; Uses'!$H$68</definedName>
    <definedName name="General_Requirements">'[1]Sources &amp; Uses'!$F$53</definedName>
    <definedName name="genreq_limit">'[1]Sources &amp; Uses'!$H$53</definedName>
    <definedName name="govt_grant_subtotal">[1]Subsidy!$I$49</definedName>
    <definedName name="govt_hard_subtotal">[1]Subsidy!$AE$49</definedName>
    <definedName name="govt_soft_subtotal">[1]Subsidy!$T$49</definedName>
    <definedName name="Gross_Equity">'[1]Sources &amp; Uses'!$F$237</definedName>
    <definedName name="hard_total">'[1]Sources &amp; Uses'!$F$81</definedName>
    <definedName name="historic_tax_credits_total">[1]Subsidy!$AH$48</definedName>
    <definedName name="historic_tot">'[1]Sources &amp; Uses'!$F$218</definedName>
    <definedName name="HOME_grant_total">[1]Subsidy!$E$48</definedName>
    <definedName name="HOME_hard_total">[1]Subsidy!$Y$48</definedName>
    <definedName name="HOME_soft_total">[1]Subsidy!$N$48</definedName>
    <definedName name="HOPEVI_grant_total">[1]Subsidy!$H$48</definedName>
    <definedName name="HOPEVI_hard_total">[1]Subsidy!$AC$48</definedName>
    <definedName name="HOPEVI_soft_total">[1]Subsidy!$R$48</definedName>
    <definedName name="hud_other_total">[1]Subsidy!$AT$48</definedName>
    <definedName name="Initial_Operating_Deficit_Reserve">'[1]Sources &amp; Uses'!$F$142</definedName>
    <definedName name="Inspection_Fee">'[1]Sources &amp; Uses'!$F$106</definedName>
    <definedName name="Insurance">'[1]Sources &amp; Uses'!$F$103</definedName>
    <definedName name="Interest_on_Construction_Loan">'[1]Sources &amp; Uses'!$F$101</definedName>
    <definedName name="intermediary_cos" localSheetId="21">#REF!</definedName>
    <definedName name="intermediary_cos">'Building Information'!$C$74</definedName>
    <definedName name="intermediary_cost">'[1]TDC Limits'!$C$68</definedName>
    <definedName name="IOI">[2]StartInput!$X$21:$X$22</definedName>
    <definedName name="land_donation_total">[1]Subsidy!$AI$48</definedName>
    <definedName name="Legal">'[1]Sources &amp; Uses'!$F$109</definedName>
    <definedName name="Letter_of_Credit_total">[1]Subsidy!$AM$48</definedName>
    <definedName name="LIHTC_Total">'[1]Sources &amp; Uses'!$F$239</definedName>
    <definedName name="list_parishes" localSheetId="21">[11]Lists!$B$19:$B$83</definedName>
    <definedName name="list_parishes" localSheetId="35">[12]Lists!$B$19:$B$83</definedName>
    <definedName name="list_parishes" localSheetId="18">[12]Lists!$B$19:$B$83</definedName>
    <definedName name="list_parishes" localSheetId="36">[12]Lists!$B$19:$B$83</definedName>
    <definedName name="list_parishes" localSheetId="19">[12]Lists!$B$19:$B$83</definedName>
    <definedName name="list_parishes">[13]Lists!$B$19:$B$83</definedName>
    <definedName name="Local_grant_total">[1]Subsidy!$G$48</definedName>
    <definedName name="Local_hard_total">[1]Subsidy!$AA$48</definedName>
    <definedName name="Local_soft_total">[1]Subsidy!$P$48</definedName>
    <definedName name="max_request">[1]General!$H$27</definedName>
    <definedName name="Miscellaneous">'[1]Sources &amp; Uses'!$F$70</definedName>
    <definedName name="mod_rehab_total">[1]Subsidy!$AS$48</definedName>
    <definedName name="Mortgage_Insurance_Premium">'[1]Sources &amp; Uses'!$F$104</definedName>
    <definedName name="Mtg1_Ann_DS">'[1]Sources &amp; Uses'!$F$181</definedName>
    <definedName name="Mtg1_Curr_Prin">'[1]Sources &amp; Uses'!$F$178</definedName>
    <definedName name="Mtg1_Int_Rate">'[1]Sources &amp; Uses'!$F$180</definedName>
    <definedName name="Mtg1_Lender_Name">'[1]Sources &amp; Uses'!$F$176</definedName>
    <definedName name="Mtg1_Term">'[1]Sources &amp; Uses'!$F$179</definedName>
    <definedName name="Mtg2_Ann_DS">'[1]Sources &amp; Uses'!$F$189</definedName>
    <definedName name="Mtg2_Curr_Prin">'[1]Sources &amp; Uses'!$F$186</definedName>
    <definedName name="Mtg2_Int_Rate">'[1]Sources &amp; Uses'!$F$188</definedName>
    <definedName name="Mtg2_Lender_Name">'[1]Sources &amp; Uses'!$F$184</definedName>
    <definedName name="Mtg2_Term">'[1]Sources &amp; Uses'!$F$187</definedName>
    <definedName name="Name" localSheetId="21">#REF!</definedName>
    <definedName name="Name" localSheetId="18">'[14]Primary Input'!$E$6</definedName>
    <definedName name="Name" localSheetId="19">'[14]Primary Input'!$E$6</definedName>
    <definedName name="Name">'Primary Input'!$E$6</definedName>
    <definedName name="nonprofit_description" localSheetId="21">#REF!</definedName>
    <definedName name="nonprofit_description">'Appendix 11'!$B$11</definedName>
    <definedName name="Note1_Ann_DS">'[1]Sources &amp; Uses'!$F$200</definedName>
    <definedName name="Note1_Curr_Prin">'[1]Sources &amp; Uses'!$F$197</definedName>
    <definedName name="Note1_Int_Rate">'[1]Sources &amp; Uses'!$F$199</definedName>
    <definedName name="Note1_Lender_Name">'[1]Sources &amp; Uses'!$F$195</definedName>
    <definedName name="Note1_Term">'[1]Sources &amp; Uses'!$F$198</definedName>
    <definedName name="Note2_Ann_DS">'[1]Sources &amp; Uses'!$F$208</definedName>
    <definedName name="Note2_Curr_Prin">'[1]Sources &amp; Uses'!$F$205</definedName>
    <definedName name="Note2_Int_Rate">'[1]Sources &amp; Uses'!$F$207</definedName>
    <definedName name="Note2_Lender_Name">'[1]Sources &amp; Uses'!$F$203</definedName>
    <definedName name="Note2_Term">'[1]Sources &amp; Uses'!$F$206</definedName>
    <definedName name="operating_assistance_subtotal">[1]Subsidy!$AW$49</definedName>
    <definedName name="Ordinary_Reserve">'[1]Sources &amp; Uses'!$F$143</definedName>
    <definedName name="Organization">'[1]Sources &amp; Uses'!$F$110</definedName>
    <definedName name="Other_Fees_Paid_by_Contractor">'[1]Sources &amp; Uses'!$F$72</definedName>
    <definedName name="Other_grant_total">[1]Subsidy!$I$48</definedName>
    <definedName name="Other_hard_total">[1]Subsidy!$AD$48</definedName>
    <definedName name="other_project_total">[1]Subsidy!$AW$48</definedName>
    <definedName name="Other_soft_total">[1]Subsidy!$S$48</definedName>
    <definedName name="other_tenant_total">[1]Subsidy!$AR$48</definedName>
    <definedName name="parish" localSheetId="21">#REF!</definedName>
    <definedName name="parish" localSheetId="19">'[14]Primary Input'!$E$9</definedName>
    <definedName name="parish">'Primary Input'!$E$9</definedName>
    <definedName name="points">'Selection Criteria'!$L$273</definedName>
    <definedName name="pool_CHDO">[1]Criteria!$I$34</definedName>
    <definedName name="pool_Homeownership">[1]Criteria!$I$37</definedName>
    <definedName name="pool_PHA">[1]Criteria!$I$39</definedName>
    <definedName name="pool_Rural_Areas">[1]Criteria!$I$35</definedName>
    <definedName name="PrimType">[6]LoanInput!$AD$14:$AD$18</definedName>
    <definedName name="_xlnm.Print_Area" localSheetId="12">Amortization!$A$1:$N$50</definedName>
    <definedName name="_xlnm.Print_Area" localSheetId="23">'Appendix 1'!$A$1:$I$91</definedName>
    <definedName name="_xlnm.Print_Area" localSheetId="27">'Appendix 11'!$A$1:$J$50</definedName>
    <definedName name="_xlnm.Print_Area" localSheetId="24">'Appendix 2'!$A$1:$L$56</definedName>
    <definedName name="_xlnm.Print_Area" localSheetId="25">'Appendix 3'!$A$1:$K$53</definedName>
    <definedName name="_xlnm.Print_Area" localSheetId="26">'Appendix 4'!$A$1:$M$35</definedName>
    <definedName name="_xlnm.Print_Area" localSheetId="30">'Appendix 40'!$A$1:$J$104</definedName>
    <definedName name="_xlnm.Print_Area" localSheetId="31">'Appendix 41'!$A$1:$G$34</definedName>
    <definedName name="_xlnm.Print_Area" localSheetId="20">Auditor!$A$1:$L$63</definedName>
    <definedName name="_xlnm.Print_Area" localSheetId="16">'Basis Calculation'!$A$1:$U$81</definedName>
    <definedName name="_xlnm.Print_Area" localSheetId="15">'Building Information'!$A$1:$F$75</definedName>
    <definedName name="_xlnm.Print_Area" localSheetId="0">Cover!$A$1:$I$46</definedName>
    <definedName name="_xlnm.Print_Area" localSheetId="33">DemandCert!$B$1:$I$118</definedName>
    <definedName name="_xlnm.Print_Area" localSheetId="35">'Developer Experience'!$A$1:$Q$111</definedName>
    <definedName name="_xlnm.Print_Area" localSheetId="11">'Financing Cert'!$A$1:$L$190</definedName>
    <definedName name="_xlnm.Print_Area" localSheetId="9">'Loan Information'!$A$1:$F$46</definedName>
    <definedName name="_xlnm.Print_Area" localSheetId="36">'Management Experience'!$A$1:$Q$102</definedName>
    <definedName name="_xlnm.Print_Area" localSheetId="1">'Primary Input'!$A$1:$K$39</definedName>
    <definedName name="_xlnm.Print_Area" localSheetId="14">'Pro Forma'!$A$1:$AS$56</definedName>
    <definedName name="_xlnm.Print_Area" localSheetId="17">'Project Schedule'!$A$1:$I$54</definedName>
    <definedName name="_xlnm.Print_Area" localSheetId="4">'Rental Income'!$A$1:$M$110</definedName>
    <definedName name="_xlnm.Print_Area" localSheetId="2">'Secondary Input'!$A$1:$O$41</definedName>
    <definedName name="_xlnm.Print_Area" localSheetId="19">'Selection Criteria'!$A$1:$V$273</definedName>
    <definedName name="_xlnm.Print_Area" localSheetId="10">'Sources&amp;Uses'!$A$1:$J$61</definedName>
    <definedName name="_xlnm.Print_Area" localSheetId="8">Syndication!$A$1:$K$225</definedName>
    <definedName name="_xlnm.Print_Area" localSheetId="3">'Threshold Requirements'!$A$1:$L$39</definedName>
    <definedName name="_xlnm.Print_Titles" localSheetId="21">Checklist!$3:$3</definedName>
    <definedName name="_xlnm.Print_Titles" localSheetId="35">'Developer Experience'!$1:$1</definedName>
    <definedName name="_xlnm.Print_Titles" localSheetId="18">'Development Team'!$1:$2</definedName>
    <definedName name="_xlnm.Print_Titles" localSheetId="36">'Management Experience'!$1:$1</definedName>
    <definedName name="Private_Mortg_Insurance_total">[1]Subsidy!$AL$48</definedName>
    <definedName name="ra_total">[1]Subsidy!$AU$48</definedName>
    <definedName name="RD_Loan_hard_total">[1]Subsidy!$AB$48</definedName>
    <definedName name="RD_Loan_soft_total">[1]Subsidy!$Q$48</definedName>
    <definedName name="Relocation_Expenses">'[1]Sources &amp; Uses'!$F$113</definedName>
    <definedName name="Replacement_Reserve">'[1]Sources &amp; Uses'!$F$145</definedName>
    <definedName name="Residential_Occupancy_Rate">[1]Income!$H$6</definedName>
    <definedName name="Sec8_tenant_total">[1]Subsidy!$AP$48</definedName>
    <definedName name="setaside" localSheetId="21">#REF!</definedName>
    <definedName name="setaside">'Primary Input'!$J$11</definedName>
    <definedName name="sources_of_funds_total">'[1]Sources &amp; Uses'!$F$241</definedName>
    <definedName name="State_grant_total">[1]Subsidy!$F$48</definedName>
    <definedName name="State_hard_total">[1]Subsidy!$Z$48</definedName>
    <definedName name="State_soft_total">[1]Subsidy!$O$48</definedName>
    <definedName name="structur_gp">[1]General!$D$41</definedName>
    <definedName name="structur_llp">[1]General!$D$48</definedName>
    <definedName name="structur_lp">[1]General!$D$42</definedName>
    <definedName name="sub_other_total">[1]Subsidy!$AJ$48</definedName>
    <definedName name="syn_Ia_address">[1]Syndication!$D$19</definedName>
    <definedName name="syn_Ia_name">[1]Syndication!$D$18</definedName>
    <definedName name="syn_Ia_tel">[1]Syndication!$E$21</definedName>
    <definedName name="syn_Id" localSheetId="21">#REF!</definedName>
    <definedName name="syn_Id">Syndication!$J$29</definedName>
    <definedName name="syn_Ie" localSheetId="21">#REF!</definedName>
    <definedName name="syn_Ie">Syndication!$J$32</definedName>
    <definedName name="syn_If" localSheetId="21">#REF!</definedName>
    <definedName name="syn_If">Syndication!$J$34</definedName>
    <definedName name="syn_Ig" localSheetId="21">#REF!</definedName>
    <definedName name="syn_Ig">Syndication!$J$36</definedName>
    <definedName name="syn_II_inst_1">[1]Syndication!$H$57</definedName>
    <definedName name="syn_II_inst_2">[1]Syndication!$H$58</definedName>
    <definedName name="syn_II_inst_3">[1]Syndication!$H$59</definedName>
    <definedName name="syn_Ij" localSheetId="21">#REF!</definedName>
    <definedName name="syn_Ij">Syndication!$J$42</definedName>
    <definedName name="syn_private_offer" localSheetId="21">#REF!</definedName>
    <definedName name="syn_private_offer">Syndication!$D$212</definedName>
    <definedName name="syn_public_offer" localSheetId="21">#REF!</definedName>
    <definedName name="syn_public_offer">Syndication!$C$212</definedName>
    <definedName name="syn_VII_netequity" localSheetId="21">#REF!</definedName>
    <definedName name="syn_VII_netequity">Syndication!$C$173</definedName>
    <definedName name="Task_Table" localSheetId="21">'[15]Revised Developer Exp'!#REF!</definedName>
    <definedName name="Task_Table" localSheetId="35">'Developer Experience'!#REF!</definedName>
    <definedName name="Task_Table" localSheetId="36">'Management Experience'!#REF!</definedName>
    <definedName name="Task_Table">'[14]Revised Developer Exp'!#REF!</definedName>
    <definedName name="tax_abate_assist_total">[1]Subsidy!$AV$48</definedName>
    <definedName name="tax_abate_sub_total">[1]Subsidy!$AG$48</definedName>
    <definedName name="tax_id">[1]General!$I$63</definedName>
    <definedName name="Taxes">'[1]Sources &amp; Uses'!$F$102</definedName>
    <definedName name="taxpyr_name">[1]General!$F$30</definedName>
    <definedName name="tdc_total" localSheetId="21">'[3]Sources &amp; Uses'!$F$127</definedName>
    <definedName name="tdc_total" localSheetId="35">'[4]Sources &amp; Uses'!$F$127</definedName>
    <definedName name="tdc_total" localSheetId="18">'[4]Sources &amp; Uses'!$F$127</definedName>
    <definedName name="tdc_total" localSheetId="36">'[4]Sources &amp; Uses'!$F$127</definedName>
    <definedName name="tdc_total" localSheetId="19">'[4]Sources &amp; Uses'!$F$127</definedName>
    <definedName name="tdc_total">'[5]Sources &amp; Uses'!$F$127</definedName>
    <definedName name="tdcfoot" localSheetId="21">#REF!</definedName>
    <definedName name="tdcfoot">'Building Information'!$E$43</definedName>
    <definedName name="tdcsfoot" localSheetId="21">#REF!</definedName>
    <definedName name="tdcsfoot">'Building Information'!$E$55</definedName>
    <definedName name="tdcunit" localSheetId="21">#REF!</definedName>
    <definedName name="tdcunit">'Building Information'!$E$54</definedName>
    <definedName name="Title_and_Recording">'[1]Sources &amp; Uses'!$F$108</definedName>
    <definedName name="Type">[2]StartInput!$AC$120:$AC$122</definedName>
    <definedName name="Type2">[2]StartInput!$AD$122:$AD$123</definedName>
    <definedName name="UDAG_grant_total">[1]Subsidy!$D$48</definedName>
    <definedName name="UDAG_hard_total">[1]Subsidy!$X$48</definedName>
    <definedName name="UDAG_soft_total">[1]Subsidy!$M$48</definedName>
    <definedName name="UrbType">[2]StartInput!$AC$123:$AC$125</definedName>
    <definedName name="uses_of_funds_total">'[1]Sources &amp; Uses'!$F$170</definedName>
    <definedName name="value_other_subtotal">[1]Subsidy!$AJ$49</definedName>
    <definedName name="voucher_tenant_total">[1]Subsidy!$AQ$48</definedName>
    <definedName name="YN">[2]GPRCompare!$D$101:$D$102</definedName>
    <definedName name="zoning_attached">[1]General!$J$75</definedName>
  </definedNames>
  <calcPr calcId="162913" concurrentCalc="0"/>
</workbook>
</file>

<file path=xl/calcChain.xml><?xml version="1.0" encoding="utf-8"?>
<calcChain xmlns="http://schemas.openxmlformats.org/spreadsheetml/2006/main">
  <c r="V222" i="49" l="1"/>
  <c r="T222" i="49"/>
  <c r="R222" i="49"/>
  <c r="P222" i="49"/>
  <c r="L222" i="49"/>
  <c r="V157" i="49"/>
  <c r="T157" i="49"/>
  <c r="R157" i="49"/>
  <c r="P157" i="49"/>
  <c r="L157" i="49"/>
  <c r="J148" i="49"/>
  <c r="J147" i="49"/>
  <c r="V111" i="49"/>
  <c r="T111" i="49"/>
  <c r="R111" i="49"/>
  <c r="P111" i="49"/>
  <c r="L111" i="49"/>
  <c r="V105" i="49"/>
  <c r="T105" i="49"/>
  <c r="R105" i="49"/>
  <c r="P105" i="49"/>
  <c r="L105" i="49"/>
  <c r="V26" i="49"/>
  <c r="T26" i="49"/>
  <c r="R26" i="49"/>
  <c r="P26" i="49"/>
  <c r="L26" i="49"/>
  <c r="V25" i="49"/>
  <c r="T25" i="49"/>
  <c r="R25" i="49"/>
  <c r="P25" i="49"/>
  <c r="L25" i="49"/>
  <c r="V269" i="49"/>
  <c r="T269" i="49"/>
  <c r="R269" i="49"/>
  <c r="P269" i="49"/>
  <c r="L269" i="49"/>
  <c r="V266" i="49"/>
  <c r="T266" i="49"/>
  <c r="R266" i="49"/>
  <c r="P266" i="49"/>
  <c r="L266" i="49"/>
  <c r="V264" i="49"/>
  <c r="T264" i="49"/>
  <c r="R264" i="49"/>
  <c r="P264" i="49"/>
  <c r="L264" i="49"/>
  <c r="V262" i="49"/>
  <c r="T262" i="49"/>
  <c r="R262" i="49"/>
  <c r="P262" i="49"/>
  <c r="L262" i="49"/>
  <c r="V257" i="49"/>
  <c r="T257" i="49"/>
  <c r="R257" i="49"/>
  <c r="P257" i="49"/>
  <c r="L257" i="49"/>
  <c r="V253" i="49"/>
  <c r="T253" i="49"/>
  <c r="R253" i="49"/>
  <c r="P253" i="49"/>
  <c r="L253" i="49"/>
  <c r="V249" i="49"/>
  <c r="T249" i="49"/>
  <c r="R249" i="49"/>
  <c r="P249" i="49"/>
  <c r="L249" i="49"/>
  <c r="R248" i="49"/>
  <c r="V247" i="49"/>
  <c r="T247" i="49"/>
  <c r="R247" i="49"/>
  <c r="P247" i="49"/>
  <c r="L247" i="49"/>
  <c r="V237" i="49"/>
  <c r="T237" i="49"/>
  <c r="R237" i="49"/>
  <c r="P237" i="49"/>
  <c r="L237" i="49"/>
  <c r="V232" i="49"/>
  <c r="T232" i="49"/>
  <c r="R232" i="49"/>
  <c r="P232" i="49"/>
  <c r="L232" i="49"/>
  <c r="V231" i="49"/>
  <c r="T231" i="49"/>
  <c r="R231" i="49"/>
  <c r="P231" i="49"/>
  <c r="L231" i="49"/>
  <c r="V230" i="49"/>
  <c r="T230" i="49"/>
  <c r="R230" i="49"/>
  <c r="P230" i="49"/>
  <c r="L230" i="49"/>
  <c r="V221" i="49"/>
  <c r="T221" i="49"/>
  <c r="R221" i="49"/>
  <c r="P221" i="49"/>
  <c r="L221" i="49"/>
  <c r="V220" i="49"/>
  <c r="T220" i="49"/>
  <c r="R220" i="49"/>
  <c r="P220" i="49"/>
  <c r="L220" i="49"/>
  <c r="V219" i="49"/>
  <c r="T219" i="49"/>
  <c r="R219" i="49"/>
  <c r="P219" i="49"/>
  <c r="L219" i="49"/>
  <c r="V212" i="49"/>
  <c r="T212" i="49"/>
  <c r="R212" i="49"/>
  <c r="P212" i="49"/>
  <c r="L212" i="49"/>
  <c r="V208" i="49"/>
  <c r="T208" i="49"/>
  <c r="R208" i="49"/>
  <c r="P208" i="49"/>
  <c r="L208" i="49"/>
  <c r="R202" i="49"/>
  <c r="P202" i="49"/>
  <c r="I200" i="49"/>
  <c r="X199" i="49"/>
  <c r="W199" i="49"/>
  <c r="M199" i="49"/>
  <c r="I199" i="49"/>
  <c r="X198" i="49"/>
  <c r="W198" i="49"/>
  <c r="M198" i="49"/>
  <c r="I198" i="49"/>
  <c r="X197" i="49"/>
  <c r="W197" i="49"/>
  <c r="M197" i="49"/>
  <c r="I197" i="49"/>
  <c r="X196" i="49"/>
  <c r="W196" i="49"/>
  <c r="M196" i="49"/>
  <c r="I196" i="49"/>
  <c r="X195" i="49"/>
  <c r="W195" i="49"/>
  <c r="M195" i="49"/>
  <c r="I195" i="49"/>
  <c r="X194" i="49"/>
  <c r="W194" i="49"/>
  <c r="M194" i="49"/>
  <c r="I194" i="49"/>
  <c r="X193" i="49"/>
  <c r="W193" i="49"/>
  <c r="M193" i="49"/>
  <c r="I193" i="49"/>
  <c r="R189" i="49"/>
  <c r="P189" i="49"/>
  <c r="L188" i="49"/>
  <c r="L189" i="49"/>
  <c r="K188" i="49"/>
  <c r="K189" i="49"/>
  <c r="V174" i="49"/>
  <c r="T174" i="49"/>
  <c r="R174" i="49"/>
  <c r="P174" i="49"/>
  <c r="L174" i="49"/>
  <c r="V173" i="49"/>
  <c r="T173" i="49"/>
  <c r="R173" i="49"/>
  <c r="P173" i="49"/>
  <c r="L173" i="49"/>
  <c r="V172" i="49"/>
  <c r="T172" i="49"/>
  <c r="R172" i="49"/>
  <c r="P172" i="49"/>
  <c r="L172" i="49"/>
  <c r="V155" i="49"/>
  <c r="T155" i="49"/>
  <c r="R155" i="49"/>
  <c r="P155" i="49"/>
  <c r="L155" i="49"/>
  <c r="V150" i="49"/>
  <c r="T150" i="49"/>
  <c r="R150" i="49"/>
  <c r="P150" i="49"/>
  <c r="L150" i="49"/>
  <c r="V145" i="49"/>
  <c r="T145" i="49"/>
  <c r="R145" i="49"/>
  <c r="P145" i="49"/>
  <c r="L145" i="49"/>
  <c r="V139" i="49"/>
  <c r="T139" i="49"/>
  <c r="R139" i="49"/>
  <c r="P139" i="49"/>
  <c r="L139" i="49"/>
  <c r="V137" i="49"/>
  <c r="T137" i="49"/>
  <c r="R137" i="49"/>
  <c r="P137" i="49"/>
  <c r="L137" i="49"/>
  <c r="V135" i="49"/>
  <c r="T135" i="49"/>
  <c r="R135" i="49"/>
  <c r="P135" i="49"/>
  <c r="L135" i="49"/>
  <c r="V127" i="49"/>
  <c r="T127" i="49"/>
  <c r="R127" i="49"/>
  <c r="P127" i="49"/>
  <c r="L127" i="49"/>
  <c r="V126" i="49"/>
  <c r="T126" i="49"/>
  <c r="R126" i="49"/>
  <c r="P126" i="49"/>
  <c r="L126" i="49"/>
  <c r="V125" i="49"/>
  <c r="T125" i="49"/>
  <c r="R125" i="49"/>
  <c r="P125" i="49"/>
  <c r="L125" i="49"/>
  <c r="V103" i="49"/>
  <c r="T103" i="49"/>
  <c r="R103" i="49"/>
  <c r="P103" i="49"/>
  <c r="L103" i="49"/>
  <c r="V102" i="49"/>
  <c r="T102" i="49"/>
  <c r="R102" i="49"/>
  <c r="P102" i="49"/>
  <c r="L102" i="49"/>
  <c r="V89" i="49"/>
  <c r="T89" i="49"/>
  <c r="R89" i="49"/>
  <c r="P89" i="49"/>
  <c r="L89" i="49"/>
  <c r="V87" i="49"/>
  <c r="T87" i="49"/>
  <c r="R87" i="49"/>
  <c r="P87" i="49"/>
  <c r="L87" i="49"/>
  <c r="V85" i="49"/>
  <c r="T85" i="49"/>
  <c r="R85" i="49"/>
  <c r="P85" i="49"/>
  <c r="L85" i="49"/>
  <c r="V74" i="49"/>
  <c r="T74" i="49"/>
  <c r="R74" i="49"/>
  <c r="P74" i="49"/>
  <c r="L74" i="49"/>
  <c r="V73" i="49"/>
  <c r="T73" i="49"/>
  <c r="R73" i="49"/>
  <c r="P73" i="49"/>
  <c r="L73" i="49"/>
  <c r="V69" i="49"/>
  <c r="T69" i="49"/>
  <c r="R69" i="49"/>
  <c r="P69" i="49"/>
  <c r="L69" i="49"/>
  <c r="V68" i="49"/>
  <c r="T68" i="49"/>
  <c r="R68" i="49"/>
  <c r="P68" i="49"/>
  <c r="L68" i="49"/>
  <c r="V63" i="49"/>
  <c r="T63" i="49"/>
  <c r="R63" i="49"/>
  <c r="P63" i="49"/>
  <c r="L63" i="49"/>
  <c r="V51" i="49"/>
  <c r="T51" i="49"/>
  <c r="R51" i="49"/>
  <c r="P51" i="49"/>
  <c r="L51" i="49"/>
  <c r="V50" i="49"/>
  <c r="T50" i="49"/>
  <c r="R50" i="49"/>
  <c r="P50" i="49"/>
  <c r="L50" i="49"/>
  <c r="V40" i="49"/>
  <c r="T40" i="49"/>
  <c r="R40" i="49"/>
  <c r="P40" i="49"/>
  <c r="L40" i="49"/>
  <c r="V39" i="49"/>
  <c r="T39" i="49"/>
  <c r="R39" i="49"/>
  <c r="P39" i="49"/>
  <c r="L39" i="49"/>
  <c r="V38" i="49"/>
  <c r="T38" i="49"/>
  <c r="R38" i="49"/>
  <c r="P38" i="49"/>
  <c r="L38" i="49"/>
  <c r="V28" i="49"/>
  <c r="T28" i="49"/>
  <c r="R28" i="49"/>
  <c r="P28" i="49"/>
  <c r="L28" i="49"/>
  <c r="V23" i="49"/>
  <c r="T23" i="49"/>
  <c r="R23" i="49"/>
  <c r="P23" i="49"/>
  <c r="V21" i="49"/>
  <c r="T21" i="49"/>
  <c r="R21" i="49"/>
  <c r="P21" i="49"/>
  <c r="L21" i="49"/>
  <c r="V20" i="49"/>
  <c r="T20" i="49"/>
  <c r="R20" i="49"/>
  <c r="P20" i="49"/>
  <c r="L20" i="49"/>
  <c r="V19" i="49"/>
  <c r="T19" i="49"/>
  <c r="R19" i="49"/>
  <c r="P19" i="49"/>
  <c r="L19" i="49"/>
  <c r="G6" i="49"/>
  <c r="K202" i="49"/>
  <c r="K203" i="49"/>
  <c r="L202" i="49"/>
  <c r="L203" i="49"/>
  <c r="U202" i="49"/>
  <c r="V202" i="49"/>
  <c r="R271" i="49"/>
  <c r="P271" i="49"/>
  <c r="T189" i="49"/>
  <c r="U189" i="49"/>
  <c r="V189" i="49"/>
  <c r="S189" i="49"/>
  <c r="L271" i="49"/>
  <c r="V271" i="49"/>
  <c r="U271" i="49"/>
  <c r="S202" i="49"/>
  <c r="T202" i="49"/>
  <c r="T271" i="49"/>
  <c r="S271" i="49"/>
  <c r="F3" i="4"/>
  <c r="E22" i="14"/>
  <c r="E5" i="14"/>
  <c r="AC73" i="5"/>
  <c r="AE73" i="5"/>
  <c r="AF73" i="5"/>
  <c r="AB73" i="5"/>
  <c r="Y73" i="5"/>
  <c r="AA73" i="5"/>
  <c r="X73" i="5"/>
  <c r="S73" i="5"/>
  <c r="N73" i="5"/>
  <c r="O73" i="5"/>
  <c r="Q73" i="5"/>
  <c r="I73" i="5"/>
  <c r="D73" i="5"/>
  <c r="E73" i="5"/>
  <c r="G73" i="5"/>
  <c r="AC72" i="5"/>
  <c r="AE72" i="5"/>
  <c r="AF72" i="5"/>
  <c r="AB72" i="5"/>
  <c r="Y72" i="5"/>
  <c r="AA72" i="5"/>
  <c r="X72" i="5"/>
  <c r="S72" i="5"/>
  <c r="N72" i="5"/>
  <c r="O72" i="5"/>
  <c r="Q72" i="5"/>
  <c r="I72" i="5"/>
  <c r="D72" i="5"/>
  <c r="E72" i="5"/>
  <c r="G72" i="5"/>
  <c r="AC71" i="5"/>
  <c r="AE71" i="5"/>
  <c r="AF71" i="5"/>
  <c r="AB71" i="5"/>
  <c r="Y71" i="5"/>
  <c r="AA71" i="5"/>
  <c r="X71" i="5"/>
  <c r="S71" i="5"/>
  <c r="N71" i="5"/>
  <c r="O71" i="5"/>
  <c r="Q71" i="5"/>
  <c r="I71" i="5"/>
  <c r="D71" i="5"/>
  <c r="E71" i="5"/>
  <c r="G71" i="5"/>
  <c r="AC70" i="5"/>
  <c r="AE70" i="5"/>
  <c r="AF70" i="5"/>
  <c r="AB70" i="5"/>
  <c r="Y70" i="5"/>
  <c r="AA70" i="5"/>
  <c r="X70" i="5"/>
  <c r="U70" i="6"/>
  <c r="U70" i="5"/>
  <c r="S70" i="5"/>
  <c r="N70" i="5"/>
  <c r="O70" i="5"/>
  <c r="Q70" i="5"/>
  <c r="K70" i="6"/>
  <c r="K70" i="5"/>
  <c r="I70" i="5"/>
  <c r="D70" i="5"/>
  <c r="E70" i="5"/>
  <c r="G70" i="5"/>
  <c r="AC69" i="5"/>
  <c r="AE69" i="5"/>
  <c r="AF69" i="5"/>
  <c r="AB69" i="5"/>
  <c r="Y69" i="5"/>
  <c r="AA69" i="5"/>
  <c r="X69" i="5"/>
  <c r="S69" i="5"/>
  <c r="N69" i="5"/>
  <c r="O69" i="5"/>
  <c r="Q69" i="5"/>
  <c r="I69" i="5"/>
  <c r="D69" i="5"/>
  <c r="E69" i="5"/>
  <c r="G69" i="5"/>
  <c r="AC68" i="5"/>
  <c r="AE68" i="5"/>
  <c r="AF68" i="5"/>
  <c r="AB68" i="5"/>
  <c r="Y68" i="5"/>
  <c r="AA68" i="5"/>
  <c r="X68" i="5"/>
  <c r="S68" i="5"/>
  <c r="N68" i="5"/>
  <c r="O68" i="5"/>
  <c r="Q68" i="5"/>
  <c r="I68" i="5"/>
  <c r="D68" i="5"/>
  <c r="E68" i="5"/>
  <c r="G68" i="5"/>
  <c r="AC67" i="5"/>
  <c r="AE67" i="5"/>
  <c r="AF67" i="5"/>
  <c r="AB67" i="5"/>
  <c r="Y67" i="5"/>
  <c r="AA67" i="5"/>
  <c r="X67" i="5"/>
  <c r="S67" i="5"/>
  <c r="N67" i="5"/>
  <c r="O67" i="5"/>
  <c r="Q67" i="5"/>
  <c r="I67" i="5"/>
  <c r="D67" i="5"/>
  <c r="E67" i="5"/>
  <c r="G67" i="5"/>
  <c r="AC66" i="5"/>
  <c r="AE66" i="5"/>
  <c r="AF66" i="5"/>
  <c r="AB66" i="5"/>
  <c r="Y66" i="5"/>
  <c r="AA66" i="5"/>
  <c r="X66" i="5"/>
  <c r="S66" i="5"/>
  <c r="N66" i="5"/>
  <c r="O66" i="5"/>
  <c r="Q66" i="5"/>
  <c r="I66" i="5"/>
  <c r="D66" i="5"/>
  <c r="E66" i="5"/>
  <c r="G66" i="5"/>
  <c r="AC65" i="5"/>
  <c r="AE65" i="5"/>
  <c r="AF65" i="5"/>
  <c r="AB65" i="5"/>
  <c r="Y65" i="5"/>
  <c r="AA65" i="5"/>
  <c r="Z65" i="6"/>
  <c r="Z65" i="5"/>
  <c r="X65" i="5"/>
  <c r="S65" i="5"/>
  <c r="N65" i="5"/>
  <c r="O65" i="5"/>
  <c r="Q65" i="5"/>
  <c r="I65" i="5"/>
  <c r="D65" i="5"/>
  <c r="E65" i="5"/>
  <c r="G65" i="5"/>
  <c r="AC64" i="5"/>
  <c r="AE64" i="5"/>
  <c r="AF64" i="5"/>
  <c r="AB64" i="5"/>
  <c r="Y64" i="5"/>
  <c r="AA64" i="5"/>
  <c r="X64" i="5"/>
  <c r="S64" i="5"/>
  <c r="N64" i="5"/>
  <c r="O64" i="5"/>
  <c r="Q64" i="5"/>
  <c r="I64" i="5"/>
  <c r="D64" i="5"/>
  <c r="J64" i="5"/>
  <c r="L64" i="5"/>
  <c r="E64" i="5"/>
  <c r="G64" i="5"/>
  <c r="AC63" i="5"/>
  <c r="AE63" i="5"/>
  <c r="AF63" i="5"/>
  <c r="AB63" i="5"/>
  <c r="Y63" i="5"/>
  <c r="AA63" i="5"/>
  <c r="X63" i="5"/>
  <c r="S63" i="5"/>
  <c r="N63" i="5"/>
  <c r="O63" i="5"/>
  <c r="Q63" i="5"/>
  <c r="I63" i="5"/>
  <c r="D63" i="5"/>
  <c r="E63" i="5"/>
  <c r="G63" i="5"/>
  <c r="AC62" i="5"/>
  <c r="AE62" i="5"/>
  <c r="AF62" i="5"/>
  <c r="AB62" i="5"/>
  <c r="Y62" i="5"/>
  <c r="AA62" i="5"/>
  <c r="X62" i="5"/>
  <c r="S62" i="5"/>
  <c r="N62" i="5"/>
  <c r="O62" i="5"/>
  <c r="Q62" i="5"/>
  <c r="K62" i="6"/>
  <c r="K62" i="5"/>
  <c r="I62" i="5"/>
  <c r="D62" i="5"/>
  <c r="E62" i="5"/>
  <c r="G62" i="5"/>
  <c r="AC61" i="5"/>
  <c r="AE61" i="5"/>
  <c r="AF61" i="5"/>
  <c r="AB61" i="5"/>
  <c r="Y61" i="5"/>
  <c r="AA61" i="5"/>
  <c r="X61" i="5"/>
  <c r="S61" i="5"/>
  <c r="T61" i="5"/>
  <c r="V61" i="5"/>
  <c r="N61" i="5"/>
  <c r="O61" i="5"/>
  <c r="Q61" i="5"/>
  <c r="I61" i="5"/>
  <c r="D61" i="5"/>
  <c r="E61" i="5"/>
  <c r="G61" i="5"/>
  <c r="AC60" i="5"/>
  <c r="AE60" i="5"/>
  <c r="AF60" i="5"/>
  <c r="AB60" i="5"/>
  <c r="Y60" i="5"/>
  <c r="AA60" i="5"/>
  <c r="X60" i="5"/>
  <c r="S60" i="5"/>
  <c r="N60" i="5"/>
  <c r="O60" i="5"/>
  <c r="Q60" i="5"/>
  <c r="I60" i="5"/>
  <c r="D60" i="5"/>
  <c r="E60" i="5"/>
  <c r="G60" i="5"/>
  <c r="AC59" i="5"/>
  <c r="AE59" i="5"/>
  <c r="AF59" i="5"/>
  <c r="AB59" i="5"/>
  <c r="Y59" i="5"/>
  <c r="AA59" i="5"/>
  <c r="X59" i="5"/>
  <c r="S59" i="5"/>
  <c r="T59" i="5"/>
  <c r="V59" i="5"/>
  <c r="N59" i="5"/>
  <c r="O59" i="5"/>
  <c r="Q59" i="5"/>
  <c r="I59" i="5"/>
  <c r="D59" i="5"/>
  <c r="E59" i="5"/>
  <c r="G59" i="5"/>
  <c r="AC58" i="5"/>
  <c r="AE58" i="5"/>
  <c r="AF58" i="5"/>
  <c r="AB58" i="5"/>
  <c r="Y58" i="5"/>
  <c r="AA58" i="5"/>
  <c r="Z58" i="6"/>
  <c r="Z58" i="5"/>
  <c r="X58" i="5"/>
  <c r="S58" i="5"/>
  <c r="N58" i="5"/>
  <c r="O58" i="5"/>
  <c r="Q58" i="5"/>
  <c r="I58" i="5"/>
  <c r="D58" i="5"/>
  <c r="E58" i="5"/>
  <c r="G58" i="5"/>
  <c r="AC57" i="5"/>
  <c r="AE57" i="5"/>
  <c r="AF57" i="5"/>
  <c r="AB57" i="5"/>
  <c r="Y57" i="5"/>
  <c r="AA57" i="5"/>
  <c r="X57" i="5"/>
  <c r="S57" i="5"/>
  <c r="N57" i="5"/>
  <c r="O57" i="5"/>
  <c r="Q57" i="5"/>
  <c r="I57" i="5"/>
  <c r="D57" i="5"/>
  <c r="E57" i="5"/>
  <c r="G57" i="5"/>
  <c r="AC56" i="5"/>
  <c r="AE56" i="5"/>
  <c r="AF56" i="5"/>
  <c r="AB56" i="5"/>
  <c r="Y56" i="5"/>
  <c r="AA56" i="5"/>
  <c r="X56" i="5"/>
  <c r="S56" i="5"/>
  <c r="N56" i="5"/>
  <c r="O56" i="5"/>
  <c r="Q56" i="5"/>
  <c r="I56" i="5"/>
  <c r="D56" i="5"/>
  <c r="E56" i="5"/>
  <c r="G56" i="5"/>
  <c r="AC55" i="5"/>
  <c r="AE55" i="5"/>
  <c r="AF55" i="5"/>
  <c r="AB55" i="5"/>
  <c r="Y55" i="5"/>
  <c r="AA55" i="5"/>
  <c r="X55" i="5"/>
  <c r="S55" i="5"/>
  <c r="N55" i="5"/>
  <c r="O55" i="5"/>
  <c r="Q55" i="5"/>
  <c r="I55" i="5"/>
  <c r="D55" i="5"/>
  <c r="E55" i="5"/>
  <c r="G55" i="5"/>
  <c r="AC54" i="5"/>
  <c r="AE54" i="5"/>
  <c r="AF54" i="5"/>
  <c r="AB54" i="5"/>
  <c r="Y54" i="5"/>
  <c r="AA54" i="5"/>
  <c r="X54" i="5"/>
  <c r="S54" i="5"/>
  <c r="N54" i="5"/>
  <c r="O54" i="5"/>
  <c r="Q54" i="5"/>
  <c r="I54" i="5"/>
  <c r="D54" i="5"/>
  <c r="E54" i="5"/>
  <c r="G54" i="5"/>
  <c r="AC53" i="5"/>
  <c r="AE53" i="5"/>
  <c r="AF53" i="5"/>
  <c r="AB53" i="5"/>
  <c r="Y53" i="5"/>
  <c r="AA53" i="5"/>
  <c r="X53" i="5"/>
  <c r="S53" i="5"/>
  <c r="N53" i="5"/>
  <c r="O53" i="5"/>
  <c r="Q53" i="5"/>
  <c r="I53" i="5"/>
  <c r="D53" i="5"/>
  <c r="E53" i="5"/>
  <c r="G53" i="5"/>
  <c r="AC52" i="5"/>
  <c r="AE52" i="5"/>
  <c r="AF52" i="5"/>
  <c r="AB52" i="5"/>
  <c r="Y52" i="5"/>
  <c r="AA52" i="5"/>
  <c r="X52" i="5"/>
  <c r="S52" i="5"/>
  <c r="N52" i="5"/>
  <c r="O52" i="5"/>
  <c r="Q52" i="5"/>
  <c r="I52" i="5"/>
  <c r="D52" i="5"/>
  <c r="E52" i="5"/>
  <c r="G52" i="5"/>
  <c r="AC51" i="5"/>
  <c r="AE51" i="5"/>
  <c r="AF51" i="5"/>
  <c r="AB51" i="5"/>
  <c r="Y51" i="5"/>
  <c r="AA51" i="5"/>
  <c r="X51" i="5"/>
  <c r="S51" i="5"/>
  <c r="T51" i="5"/>
  <c r="V51" i="5"/>
  <c r="N51" i="5"/>
  <c r="O51" i="5"/>
  <c r="Q51" i="5"/>
  <c r="I51" i="5"/>
  <c r="D51" i="5"/>
  <c r="E51" i="5"/>
  <c r="G51" i="5"/>
  <c r="AC50" i="5"/>
  <c r="AE50" i="5"/>
  <c r="AF50" i="5"/>
  <c r="AB50" i="5"/>
  <c r="Y50" i="5"/>
  <c r="AA50" i="5"/>
  <c r="Z50" i="6"/>
  <c r="Z50" i="5"/>
  <c r="X50" i="5"/>
  <c r="S50" i="5"/>
  <c r="N50" i="5"/>
  <c r="O50" i="5"/>
  <c r="Q50" i="5"/>
  <c r="I50" i="5"/>
  <c r="D50" i="5"/>
  <c r="E50" i="5"/>
  <c r="G50" i="5"/>
  <c r="AC49" i="5"/>
  <c r="AE49" i="5"/>
  <c r="AF49" i="5"/>
  <c r="AB49" i="5"/>
  <c r="Y49" i="5"/>
  <c r="AA49" i="5"/>
  <c r="X49" i="5"/>
  <c r="S49" i="5"/>
  <c r="N49" i="5"/>
  <c r="O49" i="5"/>
  <c r="Q49" i="5"/>
  <c r="I49" i="5"/>
  <c r="D49" i="5"/>
  <c r="E49" i="5"/>
  <c r="G49" i="5"/>
  <c r="AC48" i="5"/>
  <c r="AE48" i="5"/>
  <c r="AF48" i="5"/>
  <c r="AB48" i="5"/>
  <c r="Y48" i="5"/>
  <c r="AA48" i="5"/>
  <c r="X48" i="5"/>
  <c r="S48" i="5"/>
  <c r="N48" i="5"/>
  <c r="O48" i="5"/>
  <c r="Q48" i="5"/>
  <c r="I48" i="5"/>
  <c r="D48" i="5"/>
  <c r="E48" i="5"/>
  <c r="G48" i="5"/>
  <c r="AC47" i="5"/>
  <c r="AE47" i="5"/>
  <c r="AF47" i="5"/>
  <c r="AB47" i="5"/>
  <c r="Y47" i="5"/>
  <c r="AA47" i="5"/>
  <c r="X47" i="5"/>
  <c r="S47" i="5"/>
  <c r="N47" i="5"/>
  <c r="O47" i="5"/>
  <c r="Q47" i="5"/>
  <c r="I47" i="5"/>
  <c r="D47" i="5"/>
  <c r="E47" i="5"/>
  <c r="G47" i="5"/>
  <c r="AC46" i="5"/>
  <c r="AE46" i="5"/>
  <c r="AF46" i="5"/>
  <c r="AB46" i="5"/>
  <c r="Y46" i="5"/>
  <c r="AA46" i="5"/>
  <c r="X46" i="5"/>
  <c r="U46" i="6"/>
  <c r="U46" i="5"/>
  <c r="S46" i="5"/>
  <c r="T46" i="5"/>
  <c r="V46" i="5"/>
  <c r="N46" i="5"/>
  <c r="O46" i="5"/>
  <c r="Q46" i="5"/>
  <c r="I46" i="5"/>
  <c r="D46" i="5"/>
  <c r="E46" i="5"/>
  <c r="G46" i="5"/>
  <c r="AC45" i="5"/>
  <c r="AE45" i="5"/>
  <c r="AF45" i="5"/>
  <c r="AB45" i="5"/>
  <c r="Y45" i="5"/>
  <c r="AA45" i="5"/>
  <c r="X45" i="5"/>
  <c r="S45" i="5"/>
  <c r="N45" i="5"/>
  <c r="O45" i="5"/>
  <c r="Q45" i="5"/>
  <c r="I45" i="5"/>
  <c r="F45" i="6"/>
  <c r="F45" i="5"/>
  <c r="D45" i="5"/>
  <c r="E45" i="5"/>
  <c r="G45" i="5"/>
  <c r="AC44" i="5"/>
  <c r="AE44" i="5"/>
  <c r="AF44" i="5"/>
  <c r="AB44" i="5"/>
  <c r="Y44" i="5"/>
  <c r="AA44" i="5"/>
  <c r="X44" i="5"/>
  <c r="S44" i="5"/>
  <c r="N44" i="5"/>
  <c r="O44" i="5"/>
  <c r="Q44" i="5"/>
  <c r="I44" i="5"/>
  <c r="D44" i="5"/>
  <c r="E44" i="5"/>
  <c r="G44" i="5"/>
  <c r="AC43" i="5"/>
  <c r="AE43" i="5"/>
  <c r="AF43" i="5"/>
  <c r="AB43" i="5"/>
  <c r="Y43" i="5"/>
  <c r="AA43" i="5"/>
  <c r="X43" i="5"/>
  <c r="S43" i="5"/>
  <c r="N43" i="5"/>
  <c r="O43" i="5"/>
  <c r="Q43" i="5"/>
  <c r="I43" i="5"/>
  <c r="D43" i="5"/>
  <c r="E43" i="5"/>
  <c r="G43" i="5"/>
  <c r="AC42" i="5"/>
  <c r="AE42" i="5"/>
  <c r="AF42" i="5"/>
  <c r="AB42" i="5"/>
  <c r="Y42" i="5"/>
  <c r="AA42" i="5"/>
  <c r="X42" i="5"/>
  <c r="S42" i="5"/>
  <c r="N42" i="5"/>
  <c r="O42" i="5"/>
  <c r="Q42" i="5"/>
  <c r="I42" i="5"/>
  <c r="D42" i="5"/>
  <c r="E42" i="5"/>
  <c r="G42" i="5"/>
  <c r="AC41" i="5"/>
  <c r="AE41" i="5"/>
  <c r="AF41" i="5"/>
  <c r="AB41" i="5"/>
  <c r="Y41" i="5"/>
  <c r="AA41" i="5"/>
  <c r="X41" i="5"/>
  <c r="S41" i="5"/>
  <c r="N41" i="5"/>
  <c r="O41" i="5"/>
  <c r="Q41" i="5"/>
  <c r="I41" i="5"/>
  <c r="D41" i="5"/>
  <c r="J41" i="5"/>
  <c r="L41" i="5"/>
  <c r="E41" i="5"/>
  <c r="G41" i="5"/>
  <c r="AC40" i="5"/>
  <c r="AE40" i="5"/>
  <c r="AF40" i="5"/>
  <c r="AB40" i="5"/>
  <c r="Y40" i="5"/>
  <c r="AA40" i="5"/>
  <c r="X40" i="5"/>
  <c r="S40" i="5"/>
  <c r="N40" i="5"/>
  <c r="O40" i="5"/>
  <c r="Q40" i="5"/>
  <c r="I40" i="5"/>
  <c r="D40" i="5"/>
  <c r="J40" i="5"/>
  <c r="L40" i="5"/>
  <c r="E40" i="5"/>
  <c r="G40" i="5"/>
  <c r="AC39" i="5"/>
  <c r="AE39" i="5"/>
  <c r="AF39" i="5"/>
  <c r="AB39" i="5"/>
  <c r="Y39" i="5"/>
  <c r="AA39" i="5"/>
  <c r="X39" i="5"/>
  <c r="S39" i="5"/>
  <c r="N39" i="5"/>
  <c r="O39" i="5"/>
  <c r="Q39" i="5"/>
  <c r="I39" i="5"/>
  <c r="D39" i="5"/>
  <c r="J39" i="5"/>
  <c r="L39" i="5"/>
  <c r="E39" i="5"/>
  <c r="G39" i="5"/>
  <c r="AC38" i="5"/>
  <c r="AE38" i="5"/>
  <c r="AF38" i="5"/>
  <c r="AB38" i="5"/>
  <c r="Y38" i="5"/>
  <c r="AA38" i="5"/>
  <c r="X38" i="5"/>
  <c r="S38" i="5"/>
  <c r="N38" i="5"/>
  <c r="O38" i="5"/>
  <c r="Q38" i="5"/>
  <c r="K38" i="6"/>
  <c r="K38" i="5"/>
  <c r="I38" i="5"/>
  <c r="D38" i="5"/>
  <c r="E38" i="5"/>
  <c r="G38" i="5"/>
  <c r="AC37" i="5"/>
  <c r="AE37" i="5"/>
  <c r="AF37" i="5"/>
  <c r="AB37" i="5"/>
  <c r="Y37" i="5"/>
  <c r="AA37" i="5"/>
  <c r="X37" i="5"/>
  <c r="S37" i="5"/>
  <c r="N37" i="5"/>
  <c r="O37" i="5"/>
  <c r="Q37" i="5"/>
  <c r="I37" i="5"/>
  <c r="F37" i="6"/>
  <c r="F37" i="5"/>
  <c r="D37" i="5"/>
  <c r="E37" i="5"/>
  <c r="G37" i="5"/>
  <c r="AC36" i="5"/>
  <c r="AE36" i="5"/>
  <c r="AF36" i="5"/>
  <c r="AB36" i="5"/>
  <c r="Y36" i="5"/>
  <c r="AA36" i="5"/>
  <c r="X36" i="5"/>
  <c r="S36" i="5"/>
  <c r="N36" i="5"/>
  <c r="O36" i="5"/>
  <c r="Q36" i="5"/>
  <c r="I36" i="5"/>
  <c r="D36" i="5"/>
  <c r="E36" i="5"/>
  <c r="G36" i="5"/>
  <c r="AC35" i="5"/>
  <c r="AE35" i="5"/>
  <c r="AF35" i="5"/>
  <c r="AB35" i="5"/>
  <c r="Y35" i="5"/>
  <c r="AA35" i="5"/>
  <c r="X35" i="5"/>
  <c r="S35" i="5"/>
  <c r="N35" i="5"/>
  <c r="O35" i="5"/>
  <c r="Q35" i="5"/>
  <c r="I35" i="5"/>
  <c r="D35" i="5"/>
  <c r="E35" i="5"/>
  <c r="G35" i="5"/>
  <c r="AC34" i="5"/>
  <c r="AE34" i="5"/>
  <c r="AF34" i="5"/>
  <c r="AB34" i="5"/>
  <c r="Y34" i="5"/>
  <c r="AA34" i="5"/>
  <c r="Z34" i="6"/>
  <c r="Z34" i="5"/>
  <c r="X34" i="5"/>
  <c r="S34" i="5"/>
  <c r="N34" i="5"/>
  <c r="O34" i="5"/>
  <c r="Q34" i="5"/>
  <c r="I34" i="5"/>
  <c r="D34" i="5"/>
  <c r="E34" i="5"/>
  <c r="G34" i="5"/>
  <c r="AC33" i="5"/>
  <c r="AE33" i="5"/>
  <c r="AF33" i="5"/>
  <c r="AB33" i="5"/>
  <c r="Y33" i="5"/>
  <c r="AA33" i="5"/>
  <c r="X33" i="5"/>
  <c r="S33" i="5"/>
  <c r="N33" i="5"/>
  <c r="O33" i="5"/>
  <c r="Q33" i="5"/>
  <c r="I33" i="5"/>
  <c r="D33" i="5"/>
  <c r="E33" i="5"/>
  <c r="G33" i="5"/>
  <c r="AC32" i="5"/>
  <c r="AE32" i="5"/>
  <c r="AF32" i="5"/>
  <c r="AB32" i="5"/>
  <c r="Y32" i="5"/>
  <c r="AA32" i="5"/>
  <c r="X32" i="5"/>
  <c r="S32" i="5"/>
  <c r="N32" i="5"/>
  <c r="O32" i="5"/>
  <c r="Q32" i="5"/>
  <c r="I32" i="5"/>
  <c r="D32" i="5"/>
  <c r="J32" i="5"/>
  <c r="L32" i="5"/>
  <c r="E32" i="5"/>
  <c r="G32" i="5"/>
  <c r="AC31" i="5"/>
  <c r="AE31" i="5"/>
  <c r="AF31" i="5"/>
  <c r="AB31" i="5"/>
  <c r="Y31" i="5"/>
  <c r="AA31" i="5"/>
  <c r="X31" i="5"/>
  <c r="S31" i="5"/>
  <c r="N31" i="5"/>
  <c r="O31" i="5"/>
  <c r="Q31" i="5"/>
  <c r="I31" i="5"/>
  <c r="D31" i="5"/>
  <c r="E31" i="5"/>
  <c r="G31" i="5"/>
  <c r="AC30" i="5"/>
  <c r="AE30" i="5"/>
  <c r="AF30" i="5"/>
  <c r="AB30" i="5"/>
  <c r="Y30" i="5"/>
  <c r="AA30" i="5"/>
  <c r="X30" i="5"/>
  <c r="U30" i="6"/>
  <c r="U30" i="5"/>
  <c r="S30" i="5"/>
  <c r="N30" i="5"/>
  <c r="O30" i="5"/>
  <c r="Q30" i="5"/>
  <c r="K30" i="6"/>
  <c r="K30" i="5"/>
  <c r="I30" i="5"/>
  <c r="D30" i="5"/>
  <c r="E30" i="5"/>
  <c r="G30" i="5"/>
  <c r="AC29" i="5"/>
  <c r="AE29" i="5"/>
  <c r="AF29" i="5"/>
  <c r="AB29" i="5"/>
  <c r="Y29" i="5"/>
  <c r="AA29" i="5"/>
  <c r="X29" i="5"/>
  <c r="S29" i="5"/>
  <c r="N29" i="5"/>
  <c r="O29" i="5"/>
  <c r="Q29" i="5"/>
  <c r="I29" i="5"/>
  <c r="D29" i="5"/>
  <c r="E29" i="5"/>
  <c r="G29" i="5"/>
  <c r="AC28" i="5"/>
  <c r="AE28" i="5"/>
  <c r="AF28" i="5"/>
  <c r="AB28" i="5"/>
  <c r="Y28" i="5"/>
  <c r="AA28" i="5"/>
  <c r="X28" i="5"/>
  <c r="S28" i="5"/>
  <c r="T28" i="5"/>
  <c r="V28" i="5"/>
  <c r="N28" i="5"/>
  <c r="O28" i="5"/>
  <c r="Q28" i="5"/>
  <c r="I28" i="5"/>
  <c r="D28" i="5"/>
  <c r="E28" i="5"/>
  <c r="G28" i="5"/>
  <c r="AC27" i="5"/>
  <c r="AE27" i="5"/>
  <c r="AF27" i="5"/>
  <c r="AB27" i="5"/>
  <c r="Y27" i="5"/>
  <c r="AA27" i="5"/>
  <c r="X27" i="5"/>
  <c r="S27" i="5"/>
  <c r="N27" i="5"/>
  <c r="O27" i="5"/>
  <c r="Q27" i="5"/>
  <c r="I27" i="5"/>
  <c r="D27" i="5"/>
  <c r="E27" i="5"/>
  <c r="G27" i="5"/>
  <c r="AC26" i="5"/>
  <c r="AE26" i="5"/>
  <c r="AF26" i="5"/>
  <c r="AB26" i="5"/>
  <c r="Y26" i="5"/>
  <c r="AA26" i="5"/>
  <c r="X26" i="5"/>
  <c r="S26" i="5"/>
  <c r="N26" i="5"/>
  <c r="O26" i="5"/>
  <c r="Q26" i="5"/>
  <c r="I26" i="5"/>
  <c r="D26" i="5"/>
  <c r="E26" i="5"/>
  <c r="G26" i="5"/>
  <c r="AC25" i="5"/>
  <c r="AE25" i="5"/>
  <c r="AF25" i="5"/>
  <c r="AB25" i="5"/>
  <c r="Y25" i="5"/>
  <c r="AA25" i="5"/>
  <c r="X25" i="5"/>
  <c r="S25" i="5"/>
  <c r="N25" i="5"/>
  <c r="O25" i="5"/>
  <c r="Q25" i="5"/>
  <c r="I25" i="5"/>
  <c r="D25" i="5"/>
  <c r="E25" i="5"/>
  <c r="G25" i="5"/>
  <c r="AC24" i="5"/>
  <c r="AE24" i="5"/>
  <c r="AF24" i="5"/>
  <c r="AB24" i="5"/>
  <c r="Y24" i="5"/>
  <c r="AA24" i="5"/>
  <c r="X24" i="5"/>
  <c r="S24" i="5"/>
  <c r="N24" i="5"/>
  <c r="O24" i="5"/>
  <c r="Q24" i="5"/>
  <c r="I24" i="5"/>
  <c r="F24" i="6"/>
  <c r="F24" i="5"/>
  <c r="D24" i="5"/>
  <c r="E24" i="5"/>
  <c r="G24" i="5"/>
  <c r="AC23" i="5"/>
  <c r="AE23" i="5"/>
  <c r="AF23" i="5"/>
  <c r="AB23" i="5"/>
  <c r="Y23" i="5"/>
  <c r="AA23" i="5"/>
  <c r="X23" i="5"/>
  <c r="S23" i="5"/>
  <c r="N23" i="5"/>
  <c r="O23" i="5"/>
  <c r="Q23" i="5"/>
  <c r="I23" i="5"/>
  <c r="D23" i="5"/>
  <c r="E23" i="5"/>
  <c r="G23" i="5"/>
  <c r="AC22" i="5"/>
  <c r="AE22" i="5"/>
  <c r="AF22" i="5"/>
  <c r="AB22" i="5"/>
  <c r="Y22" i="5"/>
  <c r="AA22" i="5"/>
  <c r="X22" i="5"/>
  <c r="S22" i="5"/>
  <c r="N22" i="5"/>
  <c r="O22" i="5"/>
  <c r="Q22" i="5"/>
  <c r="I22" i="5"/>
  <c r="D22" i="5"/>
  <c r="E22" i="5"/>
  <c r="G22" i="5"/>
  <c r="AC21" i="5"/>
  <c r="AE21" i="5"/>
  <c r="AF21" i="5"/>
  <c r="AB21" i="5"/>
  <c r="Y21" i="5"/>
  <c r="AA21" i="5"/>
  <c r="X21" i="5"/>
  <c r="S21" i="5"/>
  <c r="T21" i="5"/>
  <c r="V21" i="5"/>
  <c r="N21" i="5"/>
  <c r="O21" i="5"/>
  <c r="Q21" i="5"/>
  <c r="I21" i="5"/>
  <c r="D21" i="5"/>
  <c r="J21" i="5"/>
  <c r="L21" i="5"/>
  <c r="E21" i="5"/>
  <c r="G21" i="5"/>
  <c r="AC20" i="5"/>
  <c r="AE20" i="5"/>
  <c r="AF20" i="5"/>
  <c r="AB20" i="5"/>
  <c r="Y20" i="5"/>
  <c r="AA20" i="5"/>
  <c r="X20" i="5"/>
  <c r="S20" i="5"/>
  <c r="T20" i="5"/>
  <c r="V20" i="5"/>
  <c r="N20" i="5"/>
  <c r="O20" i="5"/>
  <c r="Q20" i="5"/>
  <c r="I20" i="5"/>
  <c r="F20" i="6"/>
  <c r="F20" i="5"/>
  <c r="D20" i="5"/>
  <c r="E20" i="5"/>
  <c r="G20" i="5"/>
  <c r="AC19" i="5"/>
  <c r="AE19" i="5"/>
  <c r="AF19" i="5"/>
  <c r="AB19" i="5"/>
  <c r="Y19" i="5"/>
  <c r="AA19" i="5"/>
  <c r="X19" i="5"/>
  <c r="S19" i="5"/>
  <c r="T19" i="5"/>
  <c r="V19" i="5"/>
  <c r="N19" i="5"/>
  <c r="O19" i="5"/>
  <c r="Q19" i="5"/>
  <c r="I19" i="5"/>
  <c r="D19" i="5"/>
  <c r="E19" i="5"/>
  <c r="G19" i="5"/>
  <c r="AC18" i="5"/>
  <c r="AE18" i="5"/>
  <c r="AF18" i="5"/>
  <c r="AB18" i="5"/>
  <c r="Y18" i="5"/>
  <c r="AA18" i="5"/>
  <c r="X18" i="5"/>
  <c r="S18" i="5"/>
  <c r="N18" i="5"/>
  <c r="O18" i="5"/>
  <c r="Q18" i="5"/>
  <c r="I18" i="5"/>
  <c r="D18" i="5"/>
  <c r="E18" i="5"/>
  <c r="G18" i="5"/>
  <c r="AC17" i="5"/>
  <c r="AE17" i="5"/>
  <c r="AF17" i="5"/>
  <c r="AB17" i="5"/>
  <c r="Y17" i="5"/>
  <c r="AA17" i="5"/>
  <c r="X17" i="5"/>
  <c r="S17" i="5"/>
  <c r="T17" i="5"/>
  <c r="V17" i="5"/>
  <c r="N17" i="5"/>
  <c r="O17" i="5"/>
  <c r="Q17" i="5"/>
  <c r="I17" i="5"/>
  <c r="D17" i="5"/>
  <c r="E17" i="5"/>
  <c r="G17" i="5"/>
  <c r="AC16" i="5"/>
  <c r="AE16" i="5"/>
  <c r="AF16" i="5"/>
  <c r="AB16" i="5"/>
  <c r="Y16" i="5"/>
  <c r="AA16" i="5"/>
  <c r="X16" i="5"/>
  <c r="S16" i="5"/>
  <c r="N16" i="5"/>
  <c r="O16" i="5"/>
  <c r="Q16" i="5"/>
  <c r="I16" i="5"/>
  <c r="D16" i="5"/>
  <c r="E16" i="5"/>
  <c r="G16" i="5"/>
  <c r="AC15" i="5"/>
  <c r="AE15" i="5"/>
  <c r="AF15" i="5"/>
  <c r="AB15" i="5"/>
  <c r="Y15" i="5"/>
  <c r="AA15" i="5"/>
  <c r="X15" i="5"/>
  <c r="S15" i="5"/>
  <c r="N15" i="5"/>
  <c r="O15" i="5"/>
  <c r="Q15" i="5"/>
  <c r="I15" i="5"/>
  <c r="D15" i="5"/>
  <c r="E15" i="5"/>
  <c r="G15" i="5"/>
  <c r="AC14" i="5"/>
  <c r="AE14" i="5"/>
  <c r="AF14" i="5"/>
  <c r="AB14" i="5"/>
  <c r="Y14" i="5"/>
  <c r="AA14" i="5"/>
  <c r="X14" i="5"/>
  <c r="S14" i="5"/>
  <c r="T14" i="5"/>
  <c r="V14" i="5"/>
  <c r="N14" i="5"/>
  <c r="O14" i="5"/>
  <c r="Q14" i="5"/>
  <c r="I14" i="5"/>
  <c r="D14" i="5"/>
  <c r="E14" i="5"/>
  <c r="G14" i="5"/>
  <c r="AC13" i="5"/>
  <c r="AE13" i="5"/>
  <c r="AF13" i="5"/>
  <c r="AB13" i="5"/>
  <c r="Y13" i="5"/>
  <c r="AA13" i="5"/>
  <c r="X13" i="5"/>
  <c r="S13" i="5"/>
  <c r="T13" i="5"/>
  <c r="V13" i="5"/>
  <c r="N13" i="5"/>
  <c r="O13" i="5"/>
  <c r="Q13" i="5"/>
  <c r="I13" i="5"/>
  <c r="D13" i="5"/>
  <c r="E13" i="5"/>
  <c r="G13" i="5"/>
  <c r="AC12" i="5"/>
  <c r="AE12" i="5"/>
  <c r="AF12" i="5"/>
  <c r="AB12" i="5"/>
  <c r="Y12" i="5"/>
  <c r="AA12" i="5"/>
  <c r="X12" i="5"/>
  <c r="S12" i="5"/>
  <c r="N12" i="5"/>
  <c r="O12" i="5"/>
  <c r="Q12" i="5"/>
  <c r="I12" i="5"/>
  <c r="D12" i="5"/>
  <c r="J12" i="5"/>
  <c r="L12" i="5"/>
  <c r="E12" i="5"/>
  <c r="G12" i="5"/>
  <c r="AE11" i="5"/>
  <c r="AF11" i="5"/>
  <c r="Y11" i="5"/>
  <c r="AA11" i="5"/>
  <c r="X11" i="5"/>
  <c r="U11" i="6"/>
  <c r="U11" i="5"/>
  <c r="S11" i="5"/>
  <c r="T11" i="5"/>
  <c r="V11" i="5"/>
  <c r="N11" i="5"/>
  <c r="O11" i="5"/>
  <c r="Q11" i="5"/>
  <c r="I11" i="5"/>
  <c r="D11" i="5"/>
  <c r="E11" i="5"/>
  <c r="G11" i="5"/>
  <c r="AE10" i="5"/>
  <c r="AF10" i="5"/>
  <c r="Y10" i="5"/>
  <c r="AA10" i="5"/>
  <c r="S10" i="5"/>
  <c r="T10" i="5"/>
  <c r="V10" i="5"/>
  <c r="N10" i="5"/>
  <c r="O10" i="5"/>
  <c r="Q10" i="5"/>
  <c r="I10" i="5"/>
  <c r="D10" i="5"/>
  <c r="E10" i="5"/>
  <c r="G10" i="5"/>
  <c r="B3" i="5"/>
  <c r="AG76" i="6"/>
  <c r="AC76" i="6"/>
  <c r="AB76" i="6"/>
  <c r="X76" i="6"/>
  <c r="S76" i="6"/>
  <c r="N76" i="6"/>
  <c r="I76" i="6"/>
  <c r="D76" i="6"/>
  <c r="AE73" i="6"/>
  <c r="AF73" i="6"/>
  <c r="Z73" i="6"/>
  <c r="Z73" i="5"/>
  <c r="Y73" i="6"/>
  <c r="AA73" i="6"/>
  <c r="U73" i="6"/>
  <c r="U73" i="5"/>
  <c r="T73" i="6"/>
  <c r="V73" i="6"/>
  <c r="P73" i="6"/>
  <c r="P73" i="5"/>
  <c r="O73" i="6"/>
  <c r="Q73" i="6"/>
  <c r="K73" i="6"/>
  <c r="K73" i="5"/>
  <c r="J73" i="6"/>
  <c r="L73" i="6"/>
  <c r="F73" i="6"/>
  <c r="F73" i="5"/>
  <c r="E73" i="6"/>
  <c r="G73" i="6"/>
  <c r="AE72" i="6"/>
  <c r="AF72" i="6"/>
  <c r="Z72" i="6"/>
  <c r="Z72" i="5"/>
  <c r="Y72" i="6"/>
  <c r="AA72" i="6"/>
  <c r="U72" i="6"/>
  <c r="U72" i="5"/>
  <c r="T72" i="6"/>
  <c r="V72" i="6"/>
  <c r="P72" i="6"/>
  <c r="P72" i="5"/>
  <c r="O72" i="6"/>
  <c r="Q72" i="6"/>
  <c r="K72" i="6"/>
  <c r="K72" i="5"/>
  <c r="J72" i="6"/>
  <c r="L72" i="6"/>
  <c r="F72" i="6"/>
  <c r="F72" i="5"/>
  <c r="E72" i="6"/>
  <c r="G72" i="6"/>
  <c r="AE71" i="6"/>
  <c r="AF71" i="6"/>
  <c r="Y71" i="6"/>
  <c r="AA71" i="6"/>
  <c r="Z71" i="6"/>
  <c r="Z71" i="5"/>
  <c r="U71" i="6"/>
  <c r="U71" i="5"/>
  <c r="T71" i="6"/>
  <c r="V71" i="6"/>
  <c r="P71" i="6"/>
  <c r="P71" i="5"/>
  <c r="O71" i="6"/>
  <c r="Q71" i="6"/>
  <c r="K71" i="6"/>
  <c r="K71" i="5"/>
  <c r="J71" i="6"/>
  <c r="L71" i="6"/>
  <c r="F71" i="6"/>
  <c r="F71" i="5"/>
  <c r="E71" i="6"/>
  <c r="G71" i="6"/>
  <c r="AE70" i="6"/>
  <c r="AF70" i="6"/>
  <c r="Z70" i="6"/>
  <c r="Z70" i="5"/>
  <c r="Y70" i="6"/>
  <c r="AA70" i="6"/>
  <c r="T70" i="6"/>
  <c r="V70" i="6"/>
  <c r="P70" i="6"/>
  <c r="P70" i="5"/>
  <c r="O70" i="6"/>
  <c r="Q70" i="6"/>
  <c r="J70" i="6"/>
  <c r="L70" i="6"/>
  <c r="E70" i="6"/>
  <c r="G70" i="6"/>
  <c r="F70" i="6"/>
  <c r="F70" i="5"/>
  <c r="AE69" i="6"/>
  <c r="AF69" i="6"/>
  <c r="Z69" i="6"/>
  <c r="Z69" i="5"/>
  <c r="Y69" i="6"/>
  <c r="AA69" i="6"/>
  <c r="U69" i="6"/>
  <c r="U69" i="5"/>
  <c r="T69" i="6"/>
  <c r="V69" i="6"/>
  <c r="P69" i="6"/>
  <c r="P69" i="5"/>
  <c r="O69" i="6"/>
  <c r="Q69" i="6"/>
  <c r="K69" i="6"/>
  <c r="K69" i="5"/>
  <c r="J69" i="6"/>
  <c r="L69" i="6"/>
  <c r="F69" i="6"/>
  <c r="F69" i="5"/>
  <c r="E69" i="6"/>
  <c r="G69" i="6"/>
  <c r="AE68" i="6"/>
  <c r="AF68" i="6"/>
  <c r="Z68" i="6"/>
  <c r="Z68" i="5"/>
  <c r="Y68" i="6"/>
  <c r="AA68" i="6"/>
  <c r="U68" i="6"/>
  <c r="U68" i="5"/>
  <c r="T68" i="6"/>
  <c r="V68" i="6"/>
  <c r="P68" i="6"/>
  <c r="P68" i="5"/>
  <c r="O68" i="6"/>
  <c r="Q68" i="6"/>
  <c r="K68" i="6"/>
  <c r="K68" i="5"/>
  <c r="J68" i="6"/>
  <c r="L68" i="6"/>
  <c r="F68" i="6"/>
  <c r="F68" i="5"/>
  <c r="E68" i="6"/>
  <c r="G68" i="6"/>
  <c r="AE67" i="6"/>
  <c r="AF67" i="6"/>
  <c r="Y67" i="6"/>
  <c r="AA67" i="6"/>
  <c r="Z67" i="6"/>
  <c r="Z67" i="5"/>
  <c r="U67" i="6"/>
  <c r="U67" i="5"/>
  <c r="T67" i="6"/>
  <c r="V67" i="6"/>
  <c r="P67" i="6"/>
  <c r="P67" i="5"/>
  <c r="O67" i="6"/>
  <c r="Q67" i="6"/>
  <c r="K67" i="6"/>
  <c r="K67" i="5"/>
  <c r="J67" i="6"/>
  <c r="L67" i="6"/>
  <c r="F67" i="6"/>
  <c r="F67" i="5"/>
  <c r="E67" i="6"/>
  <c r="G67" i="6"/>
  <c r="AE66" i="6"/>
  <c r="AF66" i="6"/>
  <c r="Z66" i="6"/>
  <c r="Z66" i="5"/>
  <c r="Y66" i="6"/>
  <c r="AA66" i="6"/>
  <c r="T66" i="6"/>
  <c r="V66" i="6"/>
  <c r="U66" i="6"/>
  <c r="U66" i="5"/>
  <c r="P66" i="6"/>
  <c r="P66" i="5"/>
  <c r="O66" i="6"/>
  <c r="Q66" i="6"/>
  <c r="K66" i="6"/>
  <c r="K66" i="5"/>
  <c r="J66" i="6"/>
  <c r="L66" i="6"/>
  <c r="E66" i="6"/>
  <c r="G66" i="6"/>
  <c r="F66" i="6"/>
  <c r="F66" i="5"/>
  <c r="AE65" i="6"/>
  <c r="AF65" i="6"/>
  <c r="Y65" i="6"/>
  <c r="AA65" i="6"/>
  <c r="U65" i="6"/>
  <c r="U65" i="5"/>
  <c r="T65" i="6"/>
  <c r="V65" i="6"/>
  <c r="P65" i="6"/>
  <c r="P65" i="5"/>
  <c r="O65" i="6"/>
  <c r="Q65" i="6"/>
  <c r="K65" i="6"/>
  <c r="K65" i="5"/>
  <c r="J65" i="6"/>
  <c r="L65" i="6"/>
  <c r="F65" i="6"/>
  <c r="F65" i="5"/>
  <c r="E65" i="6"/>
  <c r="G65" i="6"/>
  <c r="AE64" i="6"/>
  <c r="AF64" i="6"/>
  <c r="Z64" i="6"/>
  <c r="Z64" i="5"/>
  <c r="Y64" i="6"/>
  <c r="AA64" i="6"/>
  <c r="U64" i="6"/>
  <c r="U64" i="5"/>
  <c r="T64" i="6"/>
  <c r="V64" i="6"/>
  <c r="P64" i="6"/>
  <c r="P64" i="5"/>
  <c r="O64" i="6"/>
  <c r="Q64" i="6"/>
  <c r="K64" i="6"/>
  <c r="K64" i="5"/>
  <c r="J64" i="6"/>
  <c r="L64" i="6"/>
  <c r="F64" i="6"/>
  <c r="F64" i="5"/>
  <c r="E64" i="6"/>
  <c r="G64" i="6"/>
  <c r="AE63" i="6"/>
  <c r="AF63" i="6"/>
  <c r="Y63" i="6"/>
  <c r="AA63" i="6"/>
  <c r="Z63" i="6"/>
  <c r="Z63" i="5"/>
  <c r="U63" i="6"/>
  <c r="U63" i="5"/>
  <c r="T63" i="6"/>
  <c r="V63" i="6"/>
  <c r="P63" i="6"/>
  <c r="P63" i="5"/>
  <c r="O63" i="6"/>
  <c r="Q63" i="6"/>
  <c r="K63" i="6"/>
  <c r="K63" i="5"/>
  <c r="J63" i="6"/>
  <c r="L63" i="6"/>
  <c r="F63" i="6"/>
  <c r="F63" i="5"/>
  <c r="E63" i="6"/>
  <c r="G63" i="6"/>
  <c r="AE62" i="6"/>
  <c r="AF62" i="6"/>
  <c r="Z62" i="6"/>
  <c r="Z62" i="5"/>
  <c r="Y62" i="6"/>
  <c r="AA62" i="6"/>
  <c r="T62" i="6"/>
  <c r="V62" i="6"/>
  <c r="U62" i="6"/>
  <c r="U62" i="5"/>
  <c r="P62" i="6"/>
  <c r="P62" i="5"/>
  <c r="O62" i="6"/>
  <c r="Q62" i="6"/>
  <c r="J62" i="6"/>
  <c r="L62" i="6"/>
  <c r="E62" i="6"/>
  <c r="G62" i="6"/>
  <c r="F62" i="6"/>
  <c r="F62" i="5"/>
  <c r="AE61" i="6"/>
  <c r="AF61" i="6"/>
  <c r="Z61" i="6"/>
  <c r="Z61" i="5"/>
  <c r="Y61" i="6"/>
  <c r="AA61" i="6"/>
  <c r="U61" i="6"/>
  <c r="U61" i="5"/>
  <c r="T61" i="6"/>
  <c r="V61" i="6"/>
  <c r="P61" i="6"/>
  <c r="P61" i="5"/>
  <c r="O61" i="6"/>
  <c r="Q61" i="6"/>
  <c r="K61" i="6"/>
  <c r="K61" i="5"/>
  <c r="J61" i="6"/>
  <c r="L61" i="6"/>
  <c r="F61" i="6"/>
  <c r="F61" i="5"/>
  <c r="E61" i="6"/>
  <c r="G61" i="6"/>
  <c r="AE60" i="6"/>
  <c r="AF60" i="6"/>
  <c r="Z60" i="6"/>
  <c r="Z60" i="5"/>
  <c r="Y60" i="6"/>
  <c r="AA60" i="6"/>
  <c r="U60" i="6"/>
  <c r="U60" i="5"/>
  <c r="T60" i="6"/>
  <c r="V60" i="6"/>
  <c r="P60" i="6"/>
  <c r="P60" i="5"/>
  <c r="O60" i="6"/>
  <c r="Q60" i="6"/>
  <c r="K60" i="6"/>
  <c r="K60" i="5"/>
  <c r="J60" i="6"/>
  <c r="L60" i="6"/>
  <c r="F60" i="6"/>
  <c r="F60" i="5"/>
  <c r="E60" i="6"/>
  <c r="G60" i="6"/>
  <c r="AE59" i="6"/>
  <c r="AF59" i="6"/>
  <c r="Y59" i="6"/>
  <c r="AA59" i="6"/>
  <c r="Z59" i="6"/>
  <c r="Z59" i="5"/>
  <c r="U59" i="6"/>
  <c r="U59" i="5"/>
  <c r="T59" i="6"/>
  <c r="V59" i="6"/>
  <c r="P59" i="6"/>
  <c r="P59" i="5"/>
  <c r="O59" i="6"/>
  <c r="Q59" i="6"/>
  <c r="K59" i="6"/>
  <c r="K59" i="5"/>
  <c r="J59" i="6"/>
  <c r="L59" i="6"/>
  <c r="F59" i="6"/>
  <c r="F59" i="5"/>
  <c r="E59" i="6"/>
  <c r="G59" i="6"/>
  <c r="AE58" i="6"/>
  <c r="AF58" i="6"/>
  <c r="Y58" i="6"/>
  <c r="AA58" i="6"/>
  <c r="T58" i="6"/>
  <c r="V58" i="6"/>
  <c r="U58" i="6"/>
  <c r="U58" i="5"/>
  <c r="P58" i="6"/>
  <c r="P58" i="5"/>
  <c r="O58" i="6"/>
  <c r="Q58" i="6"/>
  <c r="K58" i="6"/>
  <c r="K58" i="5"/>
  <c r="J58" i="6"/>
  <c r="L58" i="6"/>
  <c r="E58" i="6"/>
  <c r="G58" i="6"/>
  <c r="F58" i="6"/>
  <c r="F58" i="5"/>
  <c r="AE57" i="6"/>
  <c r="AF57" i="6"/>
  <c r="Z57" i="6"/>
  <c r="Z57" i="5"/>
  <c r="Y57" i="6"/>
  <c r="AA57" i="6"/>
  <c r="U57" i="6"/>
  <c r="U57" i="5"/>
  <c r="T57" i="6"/>
  <c r="V57" i="6"/>
  <c r="P57" i="6"/>
  <c r="P57" i="5"/>
  <c r="O57" i="6"/>
  <c r="Q57" i="6"/>
  <c r="K57" i="6"/>
  <c r="K57" i="5"/>
  <c r="J57" i="6"/>
  <c r="L57" i="6"/>
  <c r="F57" i="6"/>
  <c r="F57" i="5"/>
  <c r="E57" i="6"/>
  <c r="G57" i="6"/>
  <c r="AE56" i="6"/>
  <c r="AF56" i="6"/>
  <c r="Z56" i="6"/>
  <c r="Z56" i="5"/>
  <c r="Y56" i="6"/>
  <c r="AA56" i="6"/>
  <c r="U56" i="6"/>
  <c r="U56" i="5"/>
  <c r="T56" i="6"/>
  <c r="V56" i="6"/>
  <c r="P56" i="6"/>
  <c r="P56" i="5"/>
  <c r="O56" i="6"/>
  <c r="Q56" i="6"/>
  <c r="K56" i="6"/>
  <c r="K56" i="5"/>
  <c r="J56" i="6"/>
  <c r="L56" i="6"/>
  <c r="F56" i="6"/>
  <c r="F56" i="5"/>
  <c r="E56" i="6"/>
  <c r="G56" i="6"/>
  <c r="AE55" i="6"/>
  <c r="AF55" i="6"/>
  <c r="Y55" i="6"/>
  <c r="AA55" i="6"/>
  <c r="Z55" i="6"/>
  <c r="Z55" i="5"/>
  <c r="U55" i="6"/>
  <c r="U55" i="5"/>
  <c r="T55" i="6"/>
  <c r="V55" i="6"/>
  <c r="P55" i="6"/>
  <c r="P55" i="5"/>
  <c r="O55" i="6"/>
  <c r="Q55" i="6"/>
  <c r="K55" i="6"/>
  <c r="K55" i="5"/>
  <c r="J55" i="6"/>
  <c r="L55" i="6"/>
  <c r="F55" i="6"/>
  <c r="F55" i="5"/>
  <c r="E55" i="6"/>
  <c r="G55" i="6"/>
  <c r="AE54" i="6"/>
  <c r="AF54" i="6"/>
  <c r="Z54" i="6"/>
  <c r="Z54" i="5"/>
  <c r="Y54" i="6"/>
  <c r="AA54" i="6"/>
  <c r="T54" i="6"/>
  <c r="V54" i="6"/>
  <c r="U54" i="6"/>
  <c r="U54" i="5"/>
  <c r="P54" i="6"/>
  <c r="P54" i="5"/>
  <c r="O54" i="6"/>
  <c r="Q54" i="6"/>
  <c r="K54" i="6"/>
  <c r="K54" i="5"/>
  <c r="J54" i="6"/>
  <c r="L54" i="6"/>
  <c r="E54" i="6"/>
  <c r="G54" i="6"/>
  <c r="F54" i="6"/>
  <c r="F54" i="5"/>
  <c r="AE53" i="6"/>
  <c r="AF53" i="6"/>
  <c r="Z53" i="6"/>
  <c r="Z53" i="5"/>
  <c r="Y53" i="6"/>
  <c r="AA53" i="6"/>
  <c r="U53" i="6"/>
  <c r="U53" i="5"/>
  <c r="T53" i="6"/>
  <c r="V53" i="6"/>
  <c r="P53" i="6"/>
  <c r="P53" i="5"/>
  <c r="O53" i="6"/>
  <c r="Q53" i="6"/>
  <c r="K53" i="6"/>
  <c r="K53" i="5"/>
  <c r="J53" i="6"/>
  <c r="L53" i="6"/>
  <c r="F53" i="6"/>
  <c r="F53" i="5"/>
  <c r="E53" i="6"/>
  <c r="G53" i="6"/>
  <c r="AE52" i="6"/>
  <c r="AF52" i="6"/>
  <c r="Z52" i="6"/>
  <c r="Z52" i="5"/>
  <c r="Y52" i="6"/>
  <c r="AA52" i="6"/>
  <c r="U52" i="6"/>
  <c r="U52" i="5"/>
  <c r="T52" i="6"/>
  <c r="V52" i="6"/>
  <c r="P52" i="6"/>
  <c r="P52" i="5"/>
  <c r="O52" i="6"/>
  <c r="Q52" i="6"/>
  <c r="K52" i="6"/>
  <c r="K52" i="5"/>
  <c r="J52" i="6"/>
  <c r="L52" i="6"/>
  <c r="F52" i="6"/>
  <c r="F52" i="5"/>
  <c r="E52" i="6"/>
  <c r="G52" i="6"/>
  <c r="AE51" i="6"/>
  <c r="AF51" i="6"/>
  <c r="Y51" i="6"/>
  <c r="AA51" i="6"/>
  <c r="Z51" i="6"/>
  <c r="Z51" i="5"/>
  <c r="U51" i="6"/>
  <c r="U51" i="5"/>
  <c r="T51" i="6"/>
  <c r="V51" i="6"/>
  <c r="P51" i="6"/>
  <c r="P51" i="5"/>
  <c r="O51" i="6"/>
  <c r="Q51" i="6"/>
  <c r="K51" i="6"/>
  <c r="K51" i="5"/>
  <c r="J51" i="6"/>
  <c r="L51" i="6"/>
  <c r="F51" i="6"/>
  <c r="F51" i="5"/>
  <c r="E51" i="6"/>
  <c r="G51" i="6"/>
  <c r="AE50" i="6"/>
  <c r="AF50" i="6"/>
  <c r="Y50" i="6"/>
  <c r="AA50" i="6"/>
  <c r="T50" i="6"/>
  <c r="V50" i="6"/>
  <c r="U50" i="6"/>
  <c r="U50" i="5"/>
  <c r="P50" i="6"/>
  <c r="P50" i="5"/>
  <c r="O50" i="6"/>
  <c r="Q50" i="6"/>
  <c r="K50" i="6"/>
  <c r="K50" i="5"/>
  <c r="J50" i="6"/>
  <c r="L50" i="6"/>
  <c r="E50" i="6"/>
  <c r="G50" i="6"/>
  <c r="F50" i="6"/>
  <c r="F50" i="5"/>
  <c r="AE49" i="6"/>
  <c r="AF49" i="6"/>
  <c r="Z49" i="6"/>
  <c r="Z49" i="5"/>
  <c r="Y49" i="6"/>
  <c r="AA49" i="6"/>
  <c r="U49" i="6"/>
  <c r="U49" i="5"/>
  <c r="T49" i="6"/>
  <c r="V49" i="6"/>
  <c r="P49" i="6"/>
  <c r="P49" i="5"/>
  <c r="O49" i="6"/>
  <c r="Q49" i="6"/>
  <c r="K49" i="6"/>
  <c r="K49" i="5"/>
  <c r="J49" i="6"/>
  <c r="L49" i="6"/>
  <c r="F49" i="6"/>
  <c r="F49" i="5"/>
  <c r="E49" i="6"/>
  <c r="G49" i="6"/>
  <c r="AE48" i="6"/>
  <c r="AF48" i="6"/>
  <c r="Z48" i="6"/>
  <c r="Z48" i="5"/>
  <c r="Y48" i="6"/>
  <c r="AA48" i="6"/>
  <c r="U48" i="6"/>
  <c r="U48" i="5"/>
  <c r="T48" i="6"/>
  <c r="V48" i="6"/>
  <c r="P48" i="6"/>
  <c r="P48" i="5"/>
  <c r="O48" i="6"/>
  <c r="Q48" i="6"/>
  <c r="K48" i="6"/>
  <c r="K48" i="5"/>
  <c r="J48" i="6"/>
  <c r="L48" i="6"/>
  <c r="F48" i="6"/>
  <c r="F48" i="5"/>
  <c r="E48" i="6"/>
  <c r="G48" i="6"/>
  <c r="AE47" i="6"/>
  <c r="AF47" i="6"/>
  <c r="Y47" i="6"/>
  <c r="AA47" i="6"/>
  <c r="Z47" i="6"/>
  <c r="Z47" i="5"/>
  <c r="U47" i="6"/>
  <c r="U47" i="5"/>
  <c r="T47" i="6"/>
  <c r="V47" i="6"/>
  <c r="P47" i="6"/>
  <c r="P47" i="5"/>
  <c r="O47" i="6"/>
  <c r="Q47" i="6"/>
  <c r="K47" i="6"/>
  <c r="K47" i="5"/>
  <c r="J47" i="6"/>
  <c r="L47" i="6"/>
  <c r="F47" i="6"/>
  <c r="F47" i="5"/>
  <c r="E47" i="6"/>
  <c r="G47" i="6"/>
  <c r="AE46" i="6"/>
  <c r="AF46" i="6"/>
  <c r="Z46" i="6"/>
  <c r="Z46" i="5"/>
  <c r="Y46" i="6"/>
  <c r="AA46" i="6"/>
  <c r="T46" i="6"/>
  <c r="V46" i="6"/>
  <c r="P46" i="6"/>
  <c r="P46" i="5"/>
  <c r="O46" i="6"/>
  <c r="Q46" i="6"/>
  <c r="K46" i="6"/>
  <c r="K46" i="5"/>
  <c r="J46" i="6"/>
  <c r="L46" i="6"/>
  <c r="E46" i="6"/>
  <c r="G46" i="6"/>
  <c r="F46" i="6"/>
  <c r="F46" i="5"/>
  <c r="AE45" i="6"/>
  <c r="AF45" i="6"/>
  <c r="Z45" i="6"/>
  <c r="Z45" i="5"/>
  <c r="Y45" i="6"/>
  <c r="AA45" i="6"/>
  <c r="U45" i="6"/>
  <c r="U45" i="5"/>
  <c r="T45" i="6"/>
  <c r="V45" i="6"/>
  <c r="P45" i="6"/>
  <c r="P45" i="5"/>
  <c r="O45" i="6"/>
  <c r="Q45" i="6"/>
  <c r="K45" i="6"/>
  <c r="K45" i="5"/>
  <c r="J45" i="6"/>
  <c r="L45" i="6"/>
  <c r="E45" i="6"/>
  <c r="G45" i="6"/>
  <c r="AE44" i="6"/>
  <c r="AF44" i="6"/>
  <c r="Z44" i="6"/>
  <c r="Z44" i="5"/>
  <c r="Y44" i="6"/>
  <c r="AA44" i="6"/>
  <c r="U44" i="6"/>
  <c r="U44" i="5"/>
  <c r="T44" i="6"/>
  <c r="V44" i="6"/>
  <c r="P44" i="6"/>
  <c r="P44" i="5"/>
  <c r="O44" i="6"/>
  <c r="Q44" i="6"/>
  <c r="K44" i="6"/>
  <c r="K44" i="5"/>
  <c r="J44" i="6"/>
  <c r="L44" i="6"/>
  <c r="F44" i="6"/>
  <c r="F44" i="5"/>
  <c r="E44" i="6"/>
  <c r="G44" i="6"/>
  <c r="AE43" i="6"/>
  <c r="AF43" i="6"/>
  <c r="Y43" i="6"/>
  <c r="AA43" i="6"/>
  <c r="Z43" i="6"/>
  <c r="Z43" i="5"/>
  <c r="U43" i="6"/>
  <c r="U43" i="5"/>
  <c r="T43" i="6"/>
  <c r="V43" i="6"/>
  <c r="P43" i="6"/>
  <c r="P43" i="5"/>
  <c r="O43" i="6"/>
  <c r="Q43" i="6"/>
  <c r="K43" i="6"/>
  <c r="K43" i="5"/>
  <c r="J43" i="6"/>
  <c r="L43" i="6"/>
  <c r="F43" i="6"/>
  <c r="F43" i="5"/>
  <c r="E43" i="6"/>
  <c r="G43" i="6"/>
  <c r="AE42" i="6"/>
  <c r="AF42" i="6"/>
  <c r="Z42" i="6"/>
  <c r="Z42" i="5"/>
  <c r="Y42" i="6"/>
  <c r="AA42" i="6"/>
  <c r="T42" i="6"/>
  <c r="V42" i="6"/>
  <c r="U42" i="6"/>
  <c r="U42" i="5"/>
  <c r="P42" i="6"/>
  <c r="P42" i="5"/>
  <c r="O42" i="6"/>
  <c r="Q42" i="6"/>
  <c r="K42" i="6"/>
  <c r="K42" i="5"/>
  <c r="J42" i="6"/>
  <c r="L42" i="6"/>
  <c r="E42" i="6"/>
  <c r="G42" i="6"/>
  <c r="F42" i="6"/>
  <c r="F42" i="5"/>
  <c r="AE41" i="6"/>
  <c r="AF41" i="6"/>
  <c r="Z41" i="6"/>
  <c r="Z41" i="5"/>
  <c r="Y41" i="6"/>
  <c r="AA41" i="6"/>
  <c r="U41" i="6"/>
  <c r="U41" i="5"/>
  <c r="T41" i="6"/>
  <c r="V41" i="6"/>
  <c r="P41" i="6"/>
  <c r="P41" i="5"/>
  <c r="O41" i="6"/>
  <c r="Q41" i="6"/>
  <c r="K41" i="6"/>
  <c r="K41" i="5"/>
  <c r="J41" i="6"/>
  <c r="L41" i="6"/>
  <c r="F41" i="6"/>
  <c r="F41" i="5"/>
  <c r="E41" i="6"/>
  <c r="G41" i="6"/>
  <c r="AE40" i="6"/>
  <c r="AF40" i="6"/>
  <c r="Z40" i="6"/>
  <c r="Z40" i="5"/>
  <c r="Y40" i="6"/>
  <c r="AA40" i="6"/>
  <c r="U40" i="6"/>
  <c r="U40" i="5"/>
  <c r="T40" i="6"/>
  <c r="V40" i="6"/>
  <c r="P40" i="6"/>
  <c r="P40" i="5"/>
  <c r="O40" i="6"/>
  <c r="Q40" i="6"/>
  <c r="K40" i="6"/>
  <c r="K40" i="5"/>
  <c r="J40" i="6"/>
  <c r="L40" i="6"/>
  <c r="F40" i="6"/>
  <c r="F40" i="5"/>
  <c r="E40" i="6"/>
  <c r="G40" i="6"/>
  <c r="AE39" i="6"/>
  <c r="AF39" i="6"/>
  <c r="Y39" i="6"/>
  <c r="AA39" i="6"/>
  <c r="Z39" i="6"/>
  <c r="Z39" i="5"/>
  <c r="U39" i="6"/>
  <c r="U39" i="5"/>
  <c r="T39" i="6"/>
  <c r="V39" i="6"/>
  <c r="P39" i="6"/>
  <c r="P39" i="5"/>
  <c r="O39" i="6"/>
  <c r="Q39" i="6"/>
  <c r="K39" i="6"/>
  <c r="K39" i="5"/>
  <c r="J39" i="6"/>
  <c r="L39" i="6"/>
  <c r="F39" i="6"/>
  <c r="F39" i="5"/>
  <c r="E39" i="6"/>
  <c r="G39" i="6"/>
  <c r="AE38" i="6"/>
  <c r="AF38" i="6"/>
  <c r="Z38" i="6"/>
  <c r="Z38" i="5"/>
  <c r="Y38" i="6"/>
  <c r="AA38" i="6"/>
  <c r="T38" i="6"/>
  <c r="V38" i="6"/>
  <c r="U38" i="6"/>
  <c r="U38" i="5"/>
  <c r="P38" i="6"/>
  <c r="P38" i="5"/>
  <c r="O38" i="6"/>
  <c r="Q38" i="6"/>
  <c r="J38" i="6"/>
  <c r="L38" i="6"/>
  <c r="E38" i="6"/>
  <c r="G38" i="6"/>
  <c r="F38" i="6"/>
  <c r="F38" i="5"/>
  <c r="AE37" i="6"/>
  <c r="AF37" i="6"/>
  <c r="Z37" i="6"/>
  <c r="Z37" i="5"/>
  <c r="Y37" i="6"/>
  <c r="AA37" i="6"/>
  <c r="U37" i="6"/>
  <c r="U37" i="5"/>
  <c r="T37" i="6"/>
  <c r="V37" i="6"/>
  <c r="P37" i="6"/>
  <c r="P37" i="5"/>
  <c r="O37" i="6"/>
  <c r="Q37" i="6"/>
  <c r="K37" i="6"/>
  <c r="K37" i="5"/>
  <c r="J37" i="6"/>
  <c r="L37" i="6"/>
  <c r="E37" i="6"/>
  <c r="G37" i="6"/>
  <c r="AE36" i="6"/>
  <c r="AF36" i="6"/>
  <c r="Z36" i="6"/>
  <c r="Z36" i="5"/>
  <c r="Y36" i="6"/>
  <c r="AA36" i="6"/>
  <c r="U36" i="6"/>
  <c r="U36" i="5"/>
  <c r="T36" i="6"/>
  <c r="V36" i="6"/>
  <c r="P36" i="6"/>
  <c r="P36" i="5"/>
  <c r="O36" i="6"/>
  <c r="Q36" i="6"/>
  <c r="K36" i="6"/>
  <c r="K36" i="5"/>
  <c r="J36" i="6"/>
  <c r="L36" i="6"/>
  <c r="F36" i="6"/>
  <c r="F36" i="5"/>
  <c r="E36" i="6"/>
  <c r="G36" i="6"/>
  <c r="AE35" i="6"/>
  <c r="AF35" i="6"/>
  <c r="Y35" i="6"/>
  <c r="AA35" i="6"/>
  <c r="Z35" i="6"/>
  <c r="Z35" i="5"/>
  <c r="U35" i="6"/>
  <c r="U35" i="5"/>
  <c r="T35" i="6"/>
  <c r="V35" i="6"/>
  <c r="P35" i="6"/>
  <c r="P35" i="5"/>
  <c r="O35" i="6"/>
  <c r="Q35" i="6"/>
  <c r="K35" i="6"/>
  <c r="K35" i="5"/>
  <c r="J35" i="6"/>
  <c r="L35" i="6"/>
  <c r="F35" i="6"/>
  <c r="F35" i="5"/>
  <c r="E35" i="6"/>
  <c r="G35" i="6"/>
  <c r="AE34" i="6"/>
  <c r="AF34" i="6"/>
  <c r="Y34" i="6"/>
  <c r="AA34" i="6"/>
  <c r="T34" i="6"/>
  <c r="V34" i="6"/>
  <c r="U34" i="6"/>
  <c r="U34" i="5"/>
  <c r="P34" i="6"/>
  <c r="P34" i="5"/>
  <c r="O34" i="6"/>
  <c r="Q34" i="6"/>
  <c r="K34" i="6"/>
  <c r="K34" i="5"/>
  <c r="J34" i="6"/>
  <c r="L34" i="6"/>
  <c r="E34" i="6"/>
  <c r="G34" i="6"/>
  <c r="F34" i="6"/>
  <c r="F34" i="5"/>
  <c r="AE33" i="6"/>
  <c r="AF33" i="6"/>
  <c r="Z33" i="6"/>
  <c r="Z33" i="5"/>
  <c r="Y33" i="6"/>
  <c r="AA33" i="6"/>
  <c r="U33" i="6"/>
  <c r="U33" i="5"/>
  <c r="T33" i="6"/>
  <c r="V33" i="6"/>
  <c r="P33" i="6"/>
  <c r="P33" i="5"/>
  <c r="O33" i="6"/>
  <c r="Q33" i="6"/>
  <c r="K33" i="6"/>
  <c r="K33" i="5"/>
  <c r="J33" i="6"/>
  <c r="L33" i="6"/>
  <c r="F33" i="6"/>
  <c r="F33" i="5"/>
  <c r="E33" i="6"/>
  <c r="G33" i="6"/>
  <c r="AE32" i="6"/>
  <c r="AF32" i="6"/>
  <c r="Z32" i="6"/>
  <c r="Z32" i="5"/>
  <c r="Y32" i="6"/>
  <c r="AA32" i="6"/>
  <c r="U32" i="6"/>
  <c r="U32" i="5"/>
  <c r="T32" i="6"/>
  <c r="V32" i="6"/>
  <c r="P32" i="6"/>
  <c r="P32" i="5"/>
  <c r="O32" i="6"/>
  <c r="Q32" i="6"/>
  <c r="K32" i="6"/>
  <c r="K32" i="5"/>
  <c r="J32" i="6"/>
  <c r="L32" i="6"/>
  <c r="F32" i="6"/>
  <c r="F32" i="5"/>
  <c r="E32" i="6"/>
  <c r="G32" i="6"/>
  <c r="AE31" i="6"/>
  <c r="AF31" i="6"/>
  <c r="Y31" i="6"/>
  <c r="AA31" i="6"/>
  <c r="Z31" i="6"/>
  <c r="Z31" i="5"/>
  <c r="U31" i="6"/>
  <c r="U31" i="5"/>
  <c r="T31" i="6"/>
  <c r="V31" i="6"/>
  <c r="P31" i="6"/>
  <c r="P31" i="5"/>
  <c r="O31" i="6"/>
  <c r="Q31" i="6"/>
  <c r="K31" i="6"/>
  <c r="K31" i="5"/>
  <c r="J31" i="6"/>
  <c r="L31" i="6"/>
  <c r="F31" i="6"/>
  <c r="F31" i="5"/>
  <c r="E31" i="6"/>
  <c r="G31" i="6"/>
  <c r="AE30" i="6"/>
  <c r="AF30" i="6"/>
  <c r="Z30" i="6"/>
  <c r="Z30" i="5"/>
  <c r="Y30" i="6"/>
  <c r="AA30" i="6"/>
  <c r="T30" i="6"/>
  <c r="V30" i="6"/>
  <c r="P30" i="6"/>
  <c r="P30" i="5"/>
  <c r="O30" i="6"/>
  <c r="Q30" i="6"/>
  <c r="J30" i="6"/>
  <c r="L30" i="6"/>
  <c r="E30" i="6"/>
  <c r="G30" i="6"/>
  <c r="F30" i="6"/>
  <c r="F30" i="5"/>
  <c r="AE29" i="6"/>
  <c r="AF29" i="6"/>
  <c r="Z29" i="6"/>
  <c r="Z29" i="5"/>
  <c r="Y29" i="6"/>
  <c r="AA29" i="6"/>
  <c r="U29" i="6"/>
  <c r="U29" i="5"/>
  <c r="T29" i="6"/>
  <c r="V29" i="6"/>
  <c r="P29" i="6"/>
  <c r="P29" i="5"/>
  <c r="O29" i="6"/>
  <c r="Q29" i="6"/>
  <c r="K29" i="6"/>
  <c r="K29" i="5"/>
  <c r="J29" i="6"/>
  <c r="L29" i="6"/>
  <c r="F29" i="6"/>
  <c r="F29" i="5"/>
  <c r="E29" i="6"/>
  <c r="G29" i="6"/>
  <c r="AE28" i="6"/>
  <c r="AF28" i="6"/>
  <c r="Z28" i="6"/>
  <c r="Z28" i="5"/>
  <c r="Y28" i="6"/>
  <c r="AA28" i="6"/>
  <c r="U28" i="6"/>
  <c r="U28" i="5"/>
  <c r="T28" i="6"/>
  <c r="V28" i="6"/>
  <c r="P28" i="6"/>
  <c r="P28" i="5"/>
  <c r="O28" i="6"/>
  <c r="Q28" i="6"/>
  <c r="K28" i="6"/>
  <c r="K28" i="5"/>
  <c r="J28" i="6"/>
  <c r="L28" i="6"/>
  <c r="F28" i="6"/>
  <c r="F28" i="5"/>
  <c r="E28" i="6"/>
  <c r="G28" i="6"/>
  <c r="AE27" i="6"/>
  <c r="AF27" i="6"/>
  <c r="Y27" i="6"/>
  <c r="AA27" i="6"/>
  <c r="Z27" i="6"/>
  <c r="Z27" i="5"/>
  <c r="U27" i="6"/>
  <c r="U27" i="5"/>
  <c r="T27" i="6"/>
  <c r="V27" i="6"/>
  <c r="P27" i="6"/>
  <c r="P27" i="5"/>
  <c r="O27" i="6"/>
  <c r="Q27" i="6"/>
  <c r="K27" i="6"/>
  <c r="K27" i="5"/>
  <c r="J27" i="6"/>
  <c r="L27" i="6"/>
  <c r="F27" i="6"/>
  <c r="F27" i="5"/>
  <c r="E27" i="6"/>
  <c r="G27" i="6"/>
  <c r="AE26" i="6"/>
  <c r="AF26" i="6"/>
  <c r="Z26" i="6"/>
  <c r="Z26" i="5"/>
  <c r="Y26" i="6"/>
  <c r="AA26" i="6"/>
  <c r="T26" i="6"/>
  <c r="V26" i="6"/>
  <c r="U26" i="6"/>
  <c r="U26" i="5"/>
  <c r="P26" i="6"/>
  <c r="P26" i="5"/>
  <c r="O26" i="6"/>
  <c r="Q26" i="6"/>
  <c r="K26" i="6"/>
  <c r="K26" i="5"/>
  <c r="J26" i="6"/>
  <c r="L26" i="6"/>
  <c r="E26" i="6"/>
  <c r="G26" i="6"/>
  <c r="F26" i="6"/>
  <c r="F26" i="5"/>
  <c r="AE25" i="6"/>
  <c r="AF25" i="6"/>
  <c r="Z25" i="6"/>
  <c r="Z25" i="5"/>
  <c r="Y25" i="6"/>
  <c r="AA25" i="6"/>
  <c r="U25" i="6"/>
  <c r="U25" i="5"/>
  <c r="T25" i="6"/>
  <c r="V25" i="6"/>
  <c r="P25" i="6"/>
  <c r="P25" i="5"/>
  <c r="O25" i="6"/>
  <c r="Q25" i="6"/>
  <c r="K25" i="6"/>
  <c r="K25" i="5"/>
  <c r="J25" i="6"/>
  <c r="L25" i="6"/>
  <c r="F25" i="6"/>
  <c r="F25" i="5"/>
  <c r="E25" i="6"/>
  <c r="G25" i="6"/>
  <c r="AE24" i="6"/>
  <c r="AF24" i="6"/>
  <c r="Z24" i="6"/>
  <c r="Z24" i="5"/>
  <c r="Y24" i="6"/>
  <c r="AA24" i="6"/>
  <c r="U24" i="6"/>
  <c r="U24" i="5"/>
  <c r="T24" i="6"/>
  <c r="V24" i="6"/>
  <c r="P24" i="6"/>
  <c r="P24" i="5"/>
  <c r="O24" i="6"/>
  <c r="Q24" i="6"/>
  <c r="K24" i="6"/>
  <c r="K24" i="5"/>
  <c r="J24" i="6"/>
  <c r="L24" i="6"/>
  <c r="E24" i="6"/>
  <c r="G24" i="6"/>
  <c r="AE23" i="6"/>
  <c r="AF23" i="6"/>
  <c r="Z23" i="6"/>
  <c r="Z23" i="5"/>
  <c r="Y23" i="6"/>
  <c r="AA23" i="6"/>
  <c r="U23" i="6"/>
  <c r="U23" i="5"/>
  <c r="T23" i="6"/>
  <c r="V23" i="6"/>
  <c r="P23" i="6"/>
  <c r="P23" i="5"/>
  <c r="O23" i="6"/>
  <c r="Q23" i="6"/>
  <c r="K23" i="6"/>
  <c r="K23" i="5"/>
  <c r="J23" i="6"/>
  <c r="L23" i="6"/>
  <c r="F23" i="6"/>
  <c r="F23" i="5"/>
  <c r="E23" i="6"/>
  <c r="G23" i="6"/>
  <c r="AE22" i="6"/>
  <c r="AF22" i="6"/>
  <c r="Z22" i="6"/>
  <c r="Z22" i="5"/>
  <c r="Y22" i="6"/>
  <c r="AA22" i="6"/>
  <c r="U22" i="6"/>
  <c r="U22" i="5"/>
  <c r="T22" i="6"/>
  <c r="V22" i="6"/>
  <c r="P22" i="6"/>
  <c r="P22" i="5"/>
  <c r="O22" i="6"/>
  <c r="Q22" i="6"/>
  <c r="K22" i="6"/>
  <c r="K22" i="5"/>
  <c r="J22" i="6"/>
  <c r="L22" i="6"/>
  <c r="F22" i="6"/>
  <c r="F22" i="5"/>
  <c r="E22" i="6"/>
  <c r="G22" i="6"/>
  <c r="AE21" i="6"/>
  <c r="AF21" i="6"/>
  <c r="Y21" i="6"/>
  <c r="AA21" i="6"/>
  <c r="Z21" i="6"/>
  <c r="Z21" i="5"/>
  <c r="U21" i="6"/>
  <c r="U21" i="5"/>
  <c r="T21" i="6"/>
  <c r="V21" i="6"/>
  <c r="P21" i="6"/>
  <c r="P21" i="5"/>
  <c r="O21" i="6"/>
  <c r="Q21" i="6"/>
  <c r="K21" i="6"/>
  <c r="K21" i="5"/>
  <c r="J21" i="6"/>
  <c r="L21" i="6"/>
  <c r="F21" i="6"/>
  <c r="F21" i="5"/>
  <c r="E21" i="6"/>
  <c r="G21" i="6"/>
  <c r="AE20" i="6"/>
  <c r="AF20" i="6"/>
  <c r="Z20" i="6"/>
  <c r="Z20" i="5"/>
  <c r="Y20" i="6"/>
  <c r="AA20" i="6"/>
  <c r="U20" i="6"/>
  <c r="U20" i="5"/>
  <c r="T20" i="6"/>
  <c r="V20" i="6"/>
  <c r="P20" i="6"/>
  <c r="P20" i="5"/>
  <c r="O20" i="6"/>
  <c r="Q20" i="6"/>
  <c r="K20" i="6"/>
  <c r="K20" i="5"/>
  <c r="J20" i="6"/>
  <c r="L20" i="6"/>
  <c r="E20" i="6"/>
  <c r="G20" i="6"/>
  <c r="AE19" i="6"/>
  <c r="AF19" i="6"/>
  <c r="Z19" i="6"/>
  <c r="Z19" i="5"/>
  <c r="Y19" i="6"/>
  <c r="AA19" i="6"/>
  <c r="U19" i="6"/>
  <c r="U19" i="5"/>
  <c r="T19" i="6"/>
  <c r="V19" i="6"/>
  <c r="P19" i="6"/>
  <c r="P19" i="5"/>
  <c r="O19" i="6"/>
  <c r="Q19" i="6"/>
  <c r="K19" i="6"/>
  <c r="K19" i="5"/>
  <c r="J19" i="6"/>
  <c r="L19" i="6"/>
  <c r="F19" i="6"/>
  <c r="F19" i="5"/>
  <c r="E19" i="6"/>
  <c r="G19" i="6"/>
  <c r="AE18" i="6"/>
  <c r="AF18" i="6"/>
  <c r="Z18" i="6"/>
  <c r="Z18" i="5"/>
  <c r="Y18" i="6"/>
  <c r="AA18" i="6"/>
  <c r="U18" i="6"/>
  <c r="U18" i="5"/>
  <c r="T18" i="6"/>
  <c r="V18" i="6"/>
  <c r="P18" i="6"/>
  <c r="P18" i="5"/>
  <c r="O18" i="6"/>
  <c r="Q18" i="6"/>
  <c r="K18" i="6"/>
  <c r="K18" i="5"/>
  <c r="J18" i="6"/>
  <c r="L18" i="6"/>
  <c r="F18" i="6"/>
  <c r="F18" i="5"/>
  <c r="E18" i="6"/>
  <c r="G18" i="6"/>
  <c r="AE17" i="6"/>
  <c r="AF17" i="6"/>
  <c r="Y17" i="6"/>
  <c r="AA17" i="6"/>
  <c r="Z17" i="6"/>
  <c r="Z17" i="5"/>
  <c r="U17" i="6"/>
  <c r="U17" i="5"/>
  <c r="T17" i="6"/>
  <c r="V17" i="6"/>
  <c r="P17" i="6"/>
  <c r="P17" i="5"/>
  <c r="O17" i="6"/>
  <c r="Q17" i="6"/>
  <c r="K17" i="6"/>
  <c r="K17" i="5"/>
  <c r="J17" i="6"/>
  <c r="L17" i="6"/>
  <c r="F17" i="6"/>
  <c r="F17" i="5"/>
  <c r="E17" i="6"/>
  <c r="G17" i="6"/>
  <c r="AE16" i="6"/>
  <c r="AF16" i="6"/>
  <c r="Z16" i="6"/>
  <c r="Z16" i="5"/>
  <c r="Y16" i="6"/>
  <c r="AA16" i="6"/>
  <c r="T16" i="6"/>
  <c r="V16" i="6"/>
  <c r="U16" i="6"/>
  <c r="U16" i="5"/>
  <c r="P16" i="6"/>
  <c r="P16" i="5"/>
  <c r="O16" i="6"/>
  <c r="Q16" i="6"/>
  <c r="K16" i="6"/>
  <c r="K16" i="5"/>
  <c r="J16" i="6"/>
  <c r="L16" i="6"/>
  <c r="E16" i="6"/>
  <c r="G16" i="6"/>
  <c r="F16" i="6"/>
  <c r="F16" i="5"/>
  <c r="AE15" i="6"/>
  <c r="AF15" i="6"/>
  <c r="Z15" i="6"/>
  <c r="Z15" i="5"/>
  <c r="Y15" i="6"/>
  <c r="AA15" i="6"/>
  <c r="U15" i="6"/>
  <c r="U15" i="5"/>
  <c r="T15" i="6"/>
  <c r="V15" i="6"/>
  <c r="O15" i="6"/>
  <c r="Q15" i="6"/>
  <c r="P15" i="6"/>
  <c r="P15" i="5"/>
  <c r="K15" i="6"/>
  <c r="K15" i="5"/>
  <c r="J15" i="6"/>
  <c r="L15" i="6"/>
  <c r="F15" i="6"/>
  <c r="F15" i="5"/>
  <c r="E15" i="6"/>
  <c r="G15" i="6"/>
  <c r="AE14" i="6"/>
  <c r="AF14" i="6"/>
  <c r="Z14" i="6"/>
  <c r="Z14" i="5"/>
  <c r="Y14" i="6"/>
  <c r="AA14" i="6"/>
  <c r="U14" i="6"/>
  <c r="U14" i="5"/>
  <c r="T14" i="6"/>
  <c r="V14" i="6"/>
  <c r="P14" i="6"/>
  <c r="P14" i="5"/>
  <c r="O14" i="6"/>
  <c r="Q14" i="6"/>
  <c r="J14" i="6"/>
  <c r="L14" i="6"/>
  <c r="K14" i="6"/>
  <c r="K14" i="5"/>
  <c r="F14" i="6"/>
  <c r="F14" i="5"/>
  <c r="E14" i="6"/>
  <c r="G14" i="6"/>
  <c r="AE13" i="6"/>
  <c r="AF13" i="6"/>
  <c r="Z13" i="6"/>
  <c r="Z13" i="5"/>
  <c r="Y13" i="6"/>
  <c r="AA13" i="6"/>
  <c r="U13" i="6"/>
  <c r="U13" i="5"/>
  <c r="T13" i="6"/>
  <c r="V13" i="6"/>
  <c r="P13" i="6"/>
  <c r="P13" i="5"/>
  <c r="O13" i="6"/>
  <c r="Q13" i="6"/>
  <c r="K13" i="6"/>
  <c r="K13" i="5"/>
  <c r="J13" i="6"/>
  <c r="L13" i="6"/>
  <c r="E13" i="6"/>
  <c r="G13" i="6"/>
  <c r="F13" i="6"/>
  <c r="F13" i="5"/>
  <c r="AE12" i="6"/>
  <c r="AF12" i="6"/>
  <c r="Z12" i="6"/>
  <c r="Z12" i="5"/>
  <c r="Y12" i="6"/>
  <c r="AA12" i="6"/>
  <c r="T12" i="6"/>
  <c r="V12" i="6"/>
  <c r="U12" i="6"/>
  <c r="U12" i="5"/>
  <c r="P12" i="6"/>
  <c r="P12" i="5"/>
  <c r="O12" i="6"/>
  <c r="Q12" i="6"/>
  <c r="K12" i="6"/>
  <c r="K12" i="5"/>
  <c r="J12" i="6"/>
  <c r="L12" i="6"/>
  <c r="E12" i="6"/>
  <c r="G12" i="6"/>
  <c r="F12" i="6"/>
  <c r="F12" i="5"/>
  <c r="AE11" i="6"/>
  <c r="AF11" i="6"/>
  <c r="Z11" i="6"/>
  <c r="Z11" i="5"/>
  <c r="Y11" i="6"/>
  <c r="AA11" i="6"/>
  <c r="T11" i="6"/>
  <c r="V11" i="6"/>
  <c r="O11" i="6"/>
  <c r="Q11" i="6"/>
  <c r="P11" i="6"/>
  <c r="P11" i="5"/>
  <c r="K11" i="6"/>
  <c r="K11" i="5"/>
  <c r="J11" i="6"/>
  <c r="L11" i="6"/>
  <c r="F11" i="6"/>
  <c r="F11" i="5"/>
  <c r="E11" i="6"/>
  <c r="G11" i="6"/>
  <c r="AE10" i="6"/>
  <c r="AF10" i="6"/>
  <c r="Z10" i="6"/>
  <c r="Z10" i="5"/>
  <c r="Y10" i="6"/>
  <c r="AA10" i="6"/>
  <c r="U10" i="6"/>
  <c r="U10" i="5"/>
  <c r="T10" i="6"/>
  <c r="V10" i="6"/>
  <c r="P10" i="6"/>
  <c r="P10" i="5"/>
  <c r="O10" i="6"/>
  <c r="Q10" i="6"/>
  <c r="J10" i="6"/>
  <c r="L10" i="6"/>
  <c r="K10" i="6"/>
  <c r="K10" i="5"/>
  <c r="F10" i="6"/>
  <c r="F10" i="5"/>
  <c r="E10" i="6"/>
  <c r="G10" i="6"/>
  <c r="I13" i="52"/>
  <c r="I24" i="51"/>
  <c r="B1" i="41"/>
  <c r="F54" i="40"/>
  <c r="E54" i="40"/>
  <c r="D54" i="40"/>
  <c r="C54" i="40"/>
  <c r="H1" i="40"/>
  <c r="G34" i="31"/>
  <c r="G28" i="31"/>
  <c r="F1" i="31"/>
  <c r="H1" i="30"/>
  <c r="H1" i="34"/>
  <c r="I45" i="33"/>
  <c r="C14" i="28"/>
  <c r="H1" i="28"/>
  <c r="J1" i="32"/>
  <c r="H1" i="27"/>
  <c r="I37" i="29"/>
  <c r="G28" i="29"/>
  <c r="G24" i="29"/>
  <c r="G18" i="29"/>
  <c r="G14" i="29"/>
  <c r="G1" i="29"/>
  <c r="C20" i="26"/>
  <c r="C16" i="26"/>
  <c r="E1" i="26"/>
  <c r="I1" i="36"/>
  <c r="I25" i="22"/>
  <c r="J23" i="22"/>
  <c r="L23" i="22"/>
  <c r="K23" i="22"/>
  <c r="L16" i="22"/>
  <c r="K16" i="22"/>
  <c r="L8" i="22"/>
  <c r="K8" i="22"/>
  <c r="L7" i="22"/>
  <c r="K7" i="22"/>
  <c r="L6" i="22"/>
  <c r="K6" i="22"/>
  <c r="A6" i="22"/>
  <c r="L5" i="22"/>
  <c r="K5" i="22"/>
  <c r="B5" i="22"/>
  <c r="B6" i="22"/>
  <c r="B7" i="22"/>
  <c r="B8" i="22"/>
  <c r="B9" i="22"/>
  <c r="B10" i="22"/>
  <c r="B11" i="22"/>
  <c r="B12" i="22"/>
  <c r="B13" i="22"/>
  <c r="B14" i="22"/>
  <c r="B15" i="22"/>
  <c r="B16" i="22"/>
  <c r="B17" i="22"/>
  <c r="B18" i="22"/>
  <c r="B19" i="22"/>
  <c r="B20" i="22"/>
  <c r="B21" i="22"/>
  <c r="B22" i="22"/>
  <c r="B23" i="22"/>
  <c r="B24" i="22"/>
  <c r="B25" i="22"/>
  <c r="L4" i="22"/>
  <c r="K4" i="22"/>
  <c r="I1" i="22"/>
  <c r="B19" i="48"/>
  <c r="G1" i="18"/>
  <c r="B69" i="3"/>
  <c r="D37" i="3"/>
  <c r="D25" i="3"/>
  <c r="D24" i="3"/>
  <c r="D23" i="3"/>
  <c r="C22" i="3"/>
  <c r="D19" i="3"/>
  <c r="D18" i="3"/>
  <c r="C17" i="3"/>
  <c r="C16" i="3"/>
  <c r="C15" i="3"/>
  <c r="C14" i="3"/>
  <c r="C13" i="3"/>
  <c r="C12" i="3"/>
  <c r="C11" i="3"/>
  <c r="D9" i="3"/>
  <c r="C8" i="3"/>
  <c r="C7" i="3"/>
  <c r="C5" i="3"/>
  <c r="B4" i="3"/>
  <c r="C3" i="3"/>
  <c r="D1" i="3"/>
  <c r="E1" i="3"/>
  <c r="E67" i="3"/>
  <c r="C67" i="13"/>
  <c r="C66" i="13"/>
  <c r="C65" i="13"/>
  <c r="C64" i="13"/>
  <c r="C61" i="13"/>
  <c r="C60" i="13"/>
  <c r="F41" i="13"/>
  <c r="F40" i="13"/>
  <c r="F39" i="13"/>
  <c r="F31" i="13"/>
  <c r="F30" i="13"/>
  <c r="F29" i="13"/>
  <c r="F28" i="13"/>
  <c r="F27" i="13"/>
  <c r="F26" i="13"/>
  <c r="F25" i="13"/>
  <c r="F32" i="13"/>
  <c r="B33" i="13"/>
  <c r="C20" i="13"/>
  <c r="C13" i="13"/>
  <c r="F13" i="13"/>
  <c r="F17" i="13"/>
  <c r="F16" i="13"/>
  <c r="C12" i="13"/>
  <c r="F12" i="13"/>
  <c r="C4" i="13"/>
  <c r="C3" i="13"/>
  <c r="D1" i="13"/>
  <c r="B37" i="8"/>
  <c r="AQ31" i="8"/>
  <c r="AO31" i="8"/>
  <c r="AM31" i="8"/>
  <c r="AK31" i="8"/>
  <c r="AI31" i="8"/>
  <c r="AG31" i="8"/>
  <c r="AE31" i="8"/>
  <c r="AC31" i="8"/>
  <c r="AA31" i="8"/>
  <c r="Y31" i="8"/>
  <c r="W31" i="8"/>
  <c r="U31" i="8"/>
  <c r="S31" i="8"/>
  <c r="Q31" i="8"/>
  <c r="O31" i="8"/>
  <c r="M31" i="8"/>
  <c r="K31" i="8"/>
  <c r="I31" i="8"/>
  <c r="G31" i="8"/>
  <c r="E31" i="8"/>
  <c r="D17" i="8"/>
  <c r="F17" i="8"/>
  <c r="H17" i="8"/>
  <c r="J17" i="8"/>
  <c r="L17" i="8"/>
  <c r="N17" i="8"/>
  <c r="P17" i="8"/>
  <c r="R17" i="8"/>
  <c r="T17" i="8"/>
  <c r="V17" i="8"/>
  <c r="X17" i="8"/>
  <c r="Z17" i="8"/>
  <c r="AB17" i="8"/>
  <c r="AD17" i="8"/>
  <c r="AF17" i="8"/>
  <c r="AH17" i="8"/>
  <c r="AJ17" i="8"/>
  <c r="AL17" i="8"/>
  <c r="AN17" i="8"/>
  <c r="AP17" i="8"/>
  <c r="AQ17" i="8"/>
  <c r="E17" i="8"/>
  <c r="D16" i="8"/>
  <c r="F66" i="7"/>
  <c r="D15" i="8"/>
  <c r="E15" i="8"/>
  <c r="D12" i="8"/>
  <c r="F12" i="8"/>
  <c r="G12" i="8"/>
  <c r="F27" i="7"/>
  <c r="D7" i="8"/>
  <c r="E7" i="8"/>
  <c r="F2" i="8"/>
  <c r="H2" i="8"/>
  <c r="J2" i="8"/>
  <c r="L2" i="8"/>
  <c r="N2" i="8"/>
  <c r="P2" i="8"/>
  <c r="R2" i="8"/>
  <c r="T2" i="8"/>
  <c r="V2" i="8"/>
  <c r="X2" i="8"/>
  <c r="Z2" i="8"/>
  <c r="AB2" i="8"/>
  <c r="AD2" i="8"/>
  <c r="AF2" i="8"/>
  <c r="AH2" i="8"/>
  <c r="AJ2" i="8"/>
  <c r="AL2" i="8"/>
  <c r="AN2" i="8"/>
  <c r="AP2" i="8"/>
  <c r="O1" i="8"/>
  <c r="H93" i="7"/>
  <c r="D93" i="7"/>
  <c r="D95" i="7"/>
  <c r="G82" i="7"/>
  <c r="F76" i="7"/>
  <c r="E76" i="7"/>
  <c r="E66" i="7"/>
  <c r="F51" i="7"/>
  <c r="D14" i="8"/>
  <c r="E14" i="8"/>
  <c r="E51" i="7"/>
  <c r="F43" i="7"/>
  <c r="E43" i="7"/>
  <c r="F42" i="7"/>
  <c r="D13" i="8"/>
  <c r="E13" i="8"/>
  <c r="E42" i="7"/>
  <c r="E27" i="7"/>
  <c r="E19" i="7"/>
  <c r="E12" i="7"/>
  <c r="E20" i="7"/>
  <c r="E28" i="7"/>
  <c r="F16" i="7"/>
  <c r="F1" i="7"/>
  <c r="N47" i="17"/>
  <c r="E92" i="7"/>
  <c r="I43" i="17"/>
  <c r="L43" i="17"/>
  <c r="D43" i="17"/>
  <c r="I42" i="17"/>
  <c r="L42" i="17"/>
  <c r="D42" i="17"/>
  <c r="I41" i="17"/>
  <c r="L41" i="17"/>
  <c r="D41" i="17"/>
  <c r="I40" i="17"/>
  <c r="L40" i="17"/>
  <c r="D40" i="17"/>
  <c r="I39" i="17"/>
  <c r="L39" i="17"/>
  <c r="D39" i="17"/>
  <c r="I38" i="17"/>
  <c r="L38" i="17"/>
  <c r="D38" i="17"/>
  <c r="I37" i="17"/>
  <c r="L37" i="17"/>
  <c r="D37" i="17"/>
  <c r="I36" i="17"/>
  <c r="L36" i="17"/>
  <c r="D36" i="17"/>
  <c r="I35" i="17"/>
  <c r="L35" i="17"/>
  <c r="D35" i="17"/>
  <c r="I34" i="17"/>
  <c r="L34" i="17"/>
  <c r="D34" i="17"/>
  <c r="I33" i="17"/>
  <c r="L33" i="17"/>
  <c r="D33" i="17"/>
  <c r="I32" i="17"/>
  <c r="L32" i="17"/>
  <c r="D32" i="17"/>
  <c r="I31" i="17"/>
  <c r="L31" i="17"/>
  <c r="D31" i="17"/>
  <c r="I30" i="17"/>
  <c r="L30" i="17"/>
  <c r="D30" i="17"/>
  <c r="I29" i="17"/>
  <c r="L29" i="17"/>
  <c r="D29" i="17"/>
  <c r="I28" i="17"/>
  <c r="L28" i="17"/>
  <c r="D28" i="17"/>
  <c r="I27" i="17"/>
  <c r="L27" i="17"/>
  <c r="D27" i="17"/>
  <c r="I26" i="17"/>
  <c r="L26" i="17"/>
  <c r="D26" i="17"/>
  <c r="I25" i="17"/>
  <c r="L25" i="17"/>
  <c r="D25" i="17"/>
  <c r="I24" i="17"/>
  <c r="L24" i="17"/>
  <c r="D24" i="17"/>
  <c r="I23" i="17"/>
  <c r="L23" i="17"/>
  <c r="D23" i="17"/>
  <c r="I22" i="17"/>
  <c r="L22" i="17"/>
  <c r="D22" i="17"/>
  <c r="I21" i="17"/>
  <c r="L21" i="17"/>
  <c r="D21" i="17"/>
  <c r="I20" i="17"/>
  <c r="L20" i="17"/>
  <c r="D20" i="17"/>
  <c r="I19" i="17"/>
  <c r="L19" i="17"/>
  <c r="D19" i="17"/>
  <c r="I18" i="17"/>
  <c r="L18" i="17"/>
  <c r="D18" i="17"/>
  <c r="I17" i="17"/>
  <c r="L17" i="17"/>
  <c r="D17" i="17"/>
  <c r="I16" i="17"/>
  <c r="L16" i="17"/>
  <c r="D16" i="17"/>
  <c r="I15" i="17"/>
  <c r="L15" i="17"/>
  <c r="D15" i="17"/>
  <c r="I14" i="17"/>
  <c r="L14" i="17"/>
  <c r="D14" i="17"/>
  <c r="I13" i="17"/>
  <c r="L13" i="17"/>
  <c r="D13" i="17"/>
  <c r="I12" i="17"/>
  <c r="L12" i="17"/>
  <c r="D12" i="17"/>
  <c r="I11" i="17"/>
  <c r="L11" i="17"/>
  <c r="D11" i="17"/>
  <c r="I10" i="17"/>
  <c r="L10" i="17"/>
  <c r="D10" i="17"/>
  <c r="I9" i="17"/>
  <c r="L9" i="17"/>
  <c r="D9" i="17"/>
  <c r="I8" i="17"/>
  <c r="L8" i="17"/>
  <c r="D8" i="17"/>
  <c r="I7" i="17"/>
  <c r="L7" i="17"/>
  <c r="D7" i="17"/>
  <c r="I6" i="17"/>
  <c r="L6" i="17"/>
  <c r="D6" i="17"/>
  <c r="P5" i="17"/>
  <c r="E40" i="14"/>
  <c r="I5" i="17"/>
  <c r="L5" i="17"/>
  <c r="D5" i="17"/>
  <c r="L4" i="17"/>
  <c r="L1" i="17"/>
  <c r="I171" i="24"/>
  <c r="G171" i="24"/>
  <c r="E168" i="24"/>
  <c r="E171" i="24"/>
  <c r="I165" i="24"/>
  <c r="G165" i="24"/>
  <c r="G173" i="24"/>
  <c r="E163" i="24"/>
  <c r="E162" i="24"/>
  <c r="I156" i="24"/>
  <c r="E156" i="24"/>
  <c r="I155" i="24"/>
  <c r="E155" i="24"/>
  <c r="E154" i="24"/>
  <c r="E153" i="24"/>
  <c r="I152" i="24"/>
  <c r="E152" i="24"/>
  <c r="I151" i="24"/>
  <c r="E151" i="24"/>
  <c r="E150" i="24"/>
  <c r="I149" i="24"/>
  <c r="E149" i="24"/>
  <c r="I148" i="24"/>
  <c r="E148" i="24"/>
  <c r="I147" i="24"/>
  <c r="E147" i="24"/>
  <c r="E146" i="24"/>
  <c r="E145" i="24"/>
  <c r="E144" i="24"/>
  <c r="E143" i="24"/>
  <c r="I119" i="24"/>
  <c r="G119" i="24"/>
  <c r="E119" i="24"/>
  <c r="I111" i="24"/>
  <c r="G111" i="24"/>
  <c r="E111" i="24"/>
  <c r="I98" i="24"/>
  <c r="G98" i="24"/>
  <c r="E98" i="24"/>
  <c r="D69" i="24"/>
  <c r="D67" i="24"/>
  <c r="D65" i="24"/>
  <c r="F60" i="24"/>
  <c r="F61" i="24"/>
  <c r="I21" i="24"/>
  <c r="K10" i="24"/>
  <c r="I10" i="24"/>
  <c r="E29" i="14"/>
  <c r="G10" i="24"/>
  <c r="E10" i="24"/>
  <c r="C10" i="24"/>
  <c r="K9" i="24"/>
  <c r="I9" i="24"/>
  <c r="E9" i="24"/>
  <c r="C9" i="24"/>
  <c r="I1" i="24"/>
  <c r="I60" i="12"/>
  <c r="F44" i="12"/>
  <c r="F42" i="12"/>
  <c r="I154" i="24"/>
  <c r="I35" i="12"/>
  <c r="I34" i="12"/>
  <c r="I32" i="12"/>
  <c r="F6" i="12"/>
  <c r="F5" i="12"/>
  <c r="F4" i="12"/>
  <c r="H1" i="12"/>
  <c r="E45" i="14"/>
  <c r="F8" i="12"/>
  <c r="E38" i="14"/>
  <c r="E30" i="14"/>
  <c r="E27" i="14"/>
  <c r="E13" i="14"/>
  <c r="E12" i="14"/>
  <c r="D1" i="14"/>
  <c r="C212" i="21"/>
  <c r="D213" i="21"/>
  <c r="J163" i="21"/>
  <c r="J38" i="21"/>
  <c r="J139" i="21"/>
  <c r="N74" i="21"/>
  <c r="N73" i="21"/>
  <c r="N72" i="21"/>
  <c r="N71" i="21"/>
  <c r="N70" i="21"/>
  <c r="N69" i="21"/>
  <c r="N68" i="21"/>
  <c r="N67" i="21"/>
  <c r="N66" i="21"/>
  <c r="N65" i="21"/>
  <c r="N64" i="21"/>
  <c r="N63" i="21"/>
  <c r="N62" i="21"/>
  <c r="N61" i="21"/>
  <c r="N60" i="21"/>
  <c r="J42" i="21"/>
  <c r="J34" i="21"/>
  <c r="I69" i="21"/>
  <c r="I53" i="24"/>
  <c r="J29" i="21"/>
  <c r="J27" i="21"/>
  <c r="B4" i="21"/>
  <c r="I1" i="21"/>
  <c r="E12" i="10"/>
  <c r="E15" i="10"/>
  <c r="F10" i="10"/>
  <c r="G10" i="10"/>
  <c r="H10" i="10"/>
  <c r="I10" i="10"/>
  <c r="J10" i="10"/>
  <c r="K10" i="10"/>
  <c r="L10" i="10"/>
  <c r="M10" i="10"/>
  <c r="N10" i="10"/>
  <c r="O10" i="10"/>
  <c r="P10" i="10"/>
  <c r="Q10" i="10"/>
  <c r="R10" i="10"/>
  <c r="S10" i="10"/>
  <c r="T10" i="10"/>
  <c r="U10" i="10"/>
  <c r="V10" i="10"/>
  <c r="W10" i="10"/>
  <c r="Y10" i="10"/>
  <c r="Y1" i="10"/>
  <c r="AA106" i="11"/>
  <c r="AA108" i="11"/>
  <c r="Y11" i="10"/>
  <c r="Y14" i="10"/>
  <c r="S106" i="11"/>
  <c r="S108" i="11"/>
  <c r="P11" i="10"/>
  <c r="P14" i="10"/>
  <c r="K106" i="11"/>
  <c r="K108" i="11"/>
  <c r="H11" i="10"/>
  <c r="H14" i="10"/>
  <c r="Z106" i="11"/>
  <c r="Z108" i="11"/>
  <c r="W11" i="10"/>
  <c r="W14" i="10"/>
  <c r="Y106" i="11"/>
  <c r="Y108" i="11"/>
  <c r="V11" i="10"/>
  <c r="V14" i="10"/>
  <c r="X106" i="11"/>
  <c r="X108" i="11"/>
  <c r="U11" i="10"/>
  <c r="U14" i="10"/>
  <c r="W106" i="11"/>
  <c r="W108" i="11"/>
  <c r="T11" i="10"/>
  <c r="T14" i="10"/>
  <c r="V106" i="11"/>
  <c r="V108" i="11"/>
  <c r="S11" i="10"/>
  <c r="S14" i="10"/>
  <c r="U106" i="11"/>
  <c r="U108" i="11"/>
  <c r="R11" i="10"/>
  <c r="R14" i="10"/>
  <c r="T106" i="11"/>
  <c r="T108" i="11"/>
  <c r="Q11" i="10"/>
  <c r="Q14" i="10"/>
  <c r="R106" i="11"/>
  <c r="R108" i="11"/>
  <c r="O11" i="10"/>
  <c r="O14" i="10"/>
  <c r="Q106" i="11"/>
  <c r="Q108" i="11"/>
  <c r="N11" i="10"/>
  <c r="N14" i="10"/>
  <c r="P106" i="11"/>
  <c r="P108" i="11"/>
  <c r="M11" i="10"/>
  <c r="M14" i="10"/>
  <c r="O106" i="11"/>
  <c r="O108" i="11"/>
  <c r="L11" i="10"/>
  <c r="L14" i="10"/>
  <c r="N106" i="11"/>
  <c r="N108" i="11"/>
  <c r="K11" i="10"/>
  <c r="K14" i="10"/>
  <c r="M106" i="11"/>
  <c r="M108" i="11"/>
  <c r="J11" i="10"/>
  <c r="J14" i="10"/>
  <c r="L106" i="11"/>
  <c r="L108" i="11"/>
  <c r="I11" i="10"/>
  <c r="I14" i="10"/>
  <c r="J106" i="11"/>
  <c r="J108" i="11"/>
  <c r="G11" i="10"/>
  <c r="G14" i="10"/>
  <c r="I106" i="11"/>
  <c r="I108" i="11"/>
  <c r="F11" i="10"/>
  <c r="F14" i="10"/>
  <c r="H106" i="11"/>
  <c r="H108" i="11"/>
  <c r="AB105" i="11"/>
  <c r="AB104" i="11"/>
  <c r="AB103" i="11"/>
  <c r="AB102" i="11"/>
  <c r="AB101" i="11"/>
  <c r="AB100" i="11"/>
  <c r="AB99" i="11"/>
  <c r="AB98" i="11"/>
  <c r="AB97" i="11"/>
  <c r="AB96" i="11"/>
  <c r="AB95" i="11"/>
  <c r="AB94" i="11"/>
  <c r="AB93" i="11"/>
  <c r="AB92" i="11"/>
  <c r="AB91" i="11"/>
  <c r="AB90" i="11"/>
  <c r="AB89" i="11"/>
  <c r="AB88" i="11"/>
  <c r="AB87" i="11"/>
  <c r="AB86" i="11"/>
  <c r="AB85" i="11"/>
  <c r="AB84" i="11"/>
  <c r="AB83" i="11"/>
  <c r="AB82" i="11"/>
  <c r="AB81" i="11"/>
  <c r="AB80" i="11"/>
  <c r="AB79" i="11"/>
  <c r="AB78" i="11"/>
  <c r="AB77" i="11"/>
  <c r="AB76" i="11"/>
  <c r="AB75" i="11"/>
  <c r="AB74" i="11"/>
  <c r="AB73" i="11"/>
  <c r="AB72" i="11"/>
  <c r="AB71" i="11"/>
  <c r="AB70" i="11"/>
  <c r="AB69" i="11"/>
  <c r="AB68" i="11"/>
  <c r="AB67" i="11"/>
  <c r="AB66" i="11"/>
  <c r="AB65" i="11"/>
  <c r="AB64" i="11"/>
  <c r="AB63" i="11"/>
  <c r="AB62" i="11"/>
  <c r="AB61" i="11"/>
  <c r="AB60" i="11"/>
  <c r="AB59" i="11"/>
  <c r="AB58" i="11"/>
  <c r="AB57" i="11"/>
  <c r="AB56" i="11"/>
  <c r="AB55" i="11"/>
  <c r="AB54" i="11"/>
  <c r="AB53" i="11"/>
  <c r="AB52" i="11"/>
  <c r="AB51" i="11"/>
  <c r="AB50" i="11"/>
  <c r="AB49" i="11"/>
  <c r="AB48" i="11"/>
  <c r="AB47" i="11"/>
  <c r="AB46" i="11"/>
  <c r="AB45" i="11"/>
  <c r="AB44" i="11"/>
  <c r="AB43" i="11"/>
  <c r="AB42" i="11"/>
  <c r="AB41" i="11"/>
  <c r="AB40" i="11"/>
  <c r="AB39" i="11"/>
  <c r="AB38" i="11"/>
  <c r="AB37" i="11"/>
  <c r="AB36" i="11"/>
  <c r="AB35" i="11"/>
  <c r="AB34" i="11"/>
  <c r="AB33" i="11"/>
  <c r="AB32" i="11"/>
  <c r="AB31" i="11"/>
  <c r="AB30" i="11"/>
  <c r="AB29" i="11"/>
  <c r="AB28" i="11"/>
  <c r="AB27" i="11"/>
  <c r="AB26" i="11"/>
  <c r="AB25" i="11"/>
  <c r="AB24" i="11"/>
  <c r="AB23" i="11"/>
  <c r="AB22" i="11"/>
  <c r="AB21" i="11"/>
  <c r="AB20" i="11"/>
  <c r="AB19" i="11"/>
  <c r="AB18" i="11"/>
  <c r="AB17" i="11"/>
  <c r="AB16" i="11"/>
  <c r="AB15" i="11"/>
  <c r="AB14" i="11"/>
  <c r="AB13" i="11"/>
  <c r="AB12" i="11"/>
  <c r="AB11" i="11"/>
  <c r="AB10" i="11"/>
  <c r="AB9" i="11"/>
  <c r="AB8" i="11"/>
  <c r="AB7" i="11"/>
  <c r="AB6" i="11"/>
  <c r="AB5" i="11"/>
  <c r="AB4" i="11"/>
  <c r="I2" i="11"/>
  <c r="J2" i="11"/>
  <c r="K2" i="11"/>
  <c r="L2" i="11"/>
  <c r="M2" i="11"/>
  <c r="N2" i="11"/>
  <c r="O2" i="11"/>
  <c r="P2" i="11"/>
  <c r="Q2" i="11"/>
  <c r="R2" i="11"/>
  <c r="S2" i="11"/>
  <c r="T2" i="11"/>
  <c r="U2" i="11"/>
  <c r="V2" i="11"/>
  <c r="W2" i="11"/>
  <c r="X2" i="11"/>
  <c r="Y2" i="11"/>
  <c r="Z2" i="11"/>
  <c r="AA2" i="11"/>
  <c r="G1" i="11"/>
  <c r="F193" i="9"/>
  <c r="G194" i="9"/>
  <c r="G193" i="9"/>
  <c r="F190" i="9"/>
  <c r="F188" i="9"/>
  <c r="F153" i="9"/>
  <c r="F181" i="9"/>
  <c r="F32" i="12"/>
  <c r="I144" i="24"/>
  <c r="F108" i="9"/>
  <c r="F185"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B5" i="9"/>
  <c r="B4" i="9"/>
  <c r="B3" i="9"/>
  <c r="E1" i="9"/>
  <c r="H78" i="4"/>
  <c r="G78" i="4"/>
  <c r="E78" i="4"/>
  <c r="H69" i="4"/>
  <c r="H8" i="4"/>
  <c r="G69" i="4"/>
  <c r="F69" i="4"/>
  <c r="H6" i="4"/>
  <c r="E69" i="4"/>
  <c r="D69" i="4"/>
  <c r="H4" i="4"/>
  <c r="C69" i="4"/>
  <c r="I43" i="4"/>
  <c r="I55" i="4"/>
  <c r="I42" i="4"/>
  <c r="I54" i="4"/>
  <c r="I41" i="4"/>
  <c r="I53" i="4"/>
  <c r="I40" i="4"/>
  <c r="I52" i="4"/>
  <c r="I39" i="4"/>
  <c r="I51" i="4"/>
  <c r="I38" i="4"/>
  <c r="I50" i="4"/>
  <c r="I37" i="4"/>
  <c r="I49" i="4"/>
  <c r="K33" i="4"/>
  <c r="I33" i="4"/>
  <c r="H33" i="4"/>
  <c r="G33" i="4"/>
  <c r="F33" i="4"/>
  <c r="E33" i="4"/>
  <c r="D33" i="4"/>
  <c r="C33" i="4"/>
  <c r="L32" i="4"/>
  <c r="L31" i="4"/>
  <c r="L30" i="4"/>
  <c r="L29" i="4"/>
  <c r="L28" i="4"/>
  <c r="L27" i="4"/>
  <c r="L26" i="4"/>
  <c r="K11" i="2"/>
  <c r="AA25" i="4"/>
  <c r="K22" i="4"/>
  <c r="I22" i="4"/>
  <c r="L12" i="22"/>
  <c r="K12" i="22"/>
  <c r="H22" i="4"/>
  <c r="G22" i="4"/>
  <c r="F22" i="4"/>
  <c r="E22" i="4"/>
  <c r="D22" i="4"/>
  <c r="C22" i="4"/>
  <c r="U21" i="4"/>
  <c r="V21" i="4"/>
  <c r="W21" i="4"/>
  <c r="B21" i="4"/>
  <c r="B32" i="4"/>
  <c r="B43" i="4"/>
  <c r="U20" i="4"/>
  <c r="V20" i="4"/>
  <c r="W20" i="4"/>
  <c r="U19" i="4"/>
  <c r="V19" i="4"/>
  <c r="W19" i="4"/>
  <c r="U18" i="4"/>
  <c r="V18" i="4"/>
  <c r="W18" i="4"/>
  <c r="U17" i="4"/>
  <c r="V17" i="4"/>
  <c r="W17" i="4"/>
  <c r="U16" i="4"/>
  <c r="U15" i="4"/>
  <c r="V15" i="4"/>
  <c r="W15" i="4"/>
  <c r="B11" i="4"/>
  <c r="N10" i="4"/>
  <c r="K10" i="4"/>
  <c r="J14" i="22"/>
  <c r="E9" i="4"/>
  <c r="E8" i="4"/>
  <c r="H7" i="4"/>
  <c r="F7" i="4"/>
  <c r="F8" i="4"/>
  <c r="E7" i="4"/>
  <c r="F6" i="4"/>
  <c r="E6" i="4"/>
  <c r="H5" i="4"/>
  <c r="F5" i="4"/>
  <c r="E5" i="4"/>
  <c r="F4" i="4"/>
  <c r="E4" i="4"/>
  <c r="H3" i="4"/>
  <c r="E3" i="4"/>
  <c r="I1" i="4"/>
  <c r="I1" i="37"/>
  <c r="H25" i="15"/>
  <c r="E20" i="15"/>
  <c r="O18" i="15"/>
  <c r="O15" i="15"/>
  <c r="O9" i="15"/>
  <c r="H8" i="15"/>
  <c r="O5" i="15"/>
  <c r="M1" i="15"/>
  <c r="B28" i="2"/>
  <c r="H25" i="2"/>
  <c r="I22" i="2"/>
  <c r="J21" i="2"/>
  <c r="H21" i="2"/>
  <c r="G7" i="4"/>
  <c r="J30" i="4"/>
  <c r="D41" i="4"/>
  <c r="D53" i="4"/>
  <c r="J3" i="2"/>
  <c r="E3" i="2"/>
  <c r="B2" i="2"/>
  <c r="I1" i="2"/>
  <c r="C43" i="1"/>
  <c r="E10" i="1"/>
  <c r="E9" i="1"/>
  <c r="H1" i="1"/>
  <c r="J228" i="49"/>
  <c r="K228" i="49"/>
  <c r="I255" i="49"/>
  <c r="I256" i="49"/>
  <c r="D18" i="8"/>
  <c r="F18" i="8"/>
  <c r="H18" i="8"/>
  <c r="J18" i="8"/>
  <c r="L18" i="8"/>
  <c r="N18" i="8"/>
  <c r="P18" i="8"/>
  <c r="R18" i="8"/>
  <c r="T18" i="8"/>
  <c r="V18" i="8"/>
  <c r="X18" i="8"/>
  <c r="Z18" i="8"/>
  <c r="AB18" i="8"/>
  <c r="AD18" i="8"/>
  <c r="AF18" i="8"/>
  <c r="AH18" i="8"/>
  <c r="AJ18" i="8"/>
  <c r="AL18" i="8"/>
  <c r="AN18" i="8"/>
  <c r="AP18" i="8"/>
  <c r="AQ18" i="8"/>
  <c r="J32" i="4"/>
  <c r="E43" i="4"/>
  <c r="E55" i="4"/>
  <c r="F186" i="9"/>
  <c r="AB106" i="11"/>
  <c r="F49" i="21"/>
  <c r="F78" i="7"/>
  <c r="J25" i="22"/>
  <c r="F88" i="7"/>
  <c r="D30" i="8"/>
  <c r="F30" i="8"/>
  <c r="H30" i="8"/>
  <c r="I30" i="8"/>
  <c r="F43" i="13"/>
  <c r="E43" i="13"/>
  <c r="J17" i="5"/>
  <c r="L17" i="5"/>
  <c r="J72" i="5"/>
  <c r="L72" i="5"/>
  <c r="I173" i="24"/>
  <c r="E78" i="7"/>
  <c r="E80" i="7"/>
  <c r="E84" i="7"/>
  <c r="T45" i="5"/>
  <c r="V45" i="5"/>
  <c r="J14" i="5"/>
  <c r="L14" i="5"/>
  <c r="T62" i="5"/>
  <c r="V62" i="5"/>
  <c r="J73" i="5"/>
  <c r="L73" i="5"/>
  <c r="T22" i="5"/>
  <c r="V22" i="5"/>
  <c r="T43" i="5"/>
  <c r="V43" i="5"/>
  <c r="E165" i="24"/>
  <c r="E173" i="24"/>
  <c r="L25" i="22"/>
  <c r="K25" i="22"/>
  <c r="J22" i="5"/>
  <c r="L22" i="5"/>
  <c r="T27" i="5"/>
  <c r="V27" i="5"/>
  <c r="J31" i="5"/>
  <c r="L31" i="5"/>
  <c r="J33" i="5"/>
  <c r="L33" i="5"/>
  <c r="T36" i="5"/>
  <c r="V36" i="5"/>
  <c r="T54" i="5"/>
  <c r="V54" i="5"/>
  <c r="T55" i="5"/>
  <c r="V55" i="5"/>
  <c r="T67" i="5"/>
  <c r="V67" i="5"/>
  <c r="T68" i="5"/>
  <c r="V68" i="5"/>
  <c r="J70" i="5"/>
  <c r="L70" i="5"/>
  <c r="T15" i="5"/>
  <c r="V15" i="5"/>
  <c r="J19" i="5"/>
  <c r="L19" i="5"/>
  <c r="J30" i="5"/>
  <c r="L30" i="5"/>
  <c r="J47" i="5"/>
  <c r="L47" i="5"/>
  <c r="J48" i="5"/>
  <c r="L48" i="5"/>
  <c r="T52" i="5"/>
  <c r="V52" i="5"/>
  <c r="J57" i="5"/>
  <c r="L57" i="5"/>
  <c r="J62" i="5"/>
  <c r="L62" i="5"/>
  <c r="T70" i="5"/>
  <c r="V70" i="5"/>
  <c r="J11" i="5"/>
  <c r="L11" i="5"/>
  <c r="J15" i="5"/>
  <c r="L15" i="5"/>
  <c r="J26" i="5"/>
  <c r="L26" i="5"/>
  <c r="T37" i="5"/>
  <c r="V37" i="5"/>
  <c r="T44" i="5"/>
  <c r="V44" i="5"/>
  <c r="J49" i="5"/>
  <c r="L49" i="5"/>
  <c r="T12" i="5"/>
  <c r="V12" i="5"/>
  <c r="F13" i="8"/>
  <c r="H13" i="8"/>
  <c r="J13" i="8"/>
  <c r="L13" i="8"/>
  <c r="N13" i="8"/>
  <c r="P13" i="8"/>
  <c r="R13" i="8"/>
  <c r="T13" i="8"/>
  <c r="V13" i="8"/>
  <c r="X13" i="8"/>
  <c r="Z13" i="8"/>
  <c r="AB13" i="8"/>
  <c r="AD13" i="8"/>
  <c r="AF13" i="8"/>
  <c r="AH13" i="8"/>
  <c r="AJ13" i="8"/>
  <c r="AL13" i="8"/>
  <c r="AN13" i="8"/>
  <c r="AP13" i="8"/>
  <c r="AQ13" i="8"/>
  <c r="F16" i="8"/>
  <c r="H16" i="8"/>
  <c r="J16" i="8"/>
  <c r="J13" i="5"/>
  <c r="L13" i="5"/>
  <c r="J16" i="5"/>
  <c r="L16" i="5"/>
  <c r="J20" i="5"/>
  <c r="L20" i="5"/>
  <c r="T29" i="5"/>
  <c r="V29" i="5"/>
  <c r="T30" i="5"/>
  <c r="V30" i="5"/>
  <c r="T35" i="5"/>
  <c r="V35" i="5"/>
  <c r="T38" i="5"/>
  <c r="V38" i="5"/>
  <c r="T39" i="5"/>
  <c r="V39" i="5"/>
  <c r="J46" i="5"/>
  <c r="L46" i="5"/>
  <c r="T53" i="5"/>
  <c r="V53" i="5"/>
  <c r="J55" i="5"/>
  <c r="L55" i="5"/>
  <c r="J56" i="5"/>
  <c r="L56" i="5"/>
  <c r="T60" i="5"/>
  <c r="V60" i="5"/>
  <c r="J63" i="5"/>
  <c r="L63" i="5"/>
  <c r="J65" i="5"/>
  <c r="L65" i="5"/>
  <c r="T69" i="5"/>
  <c r="V69" i="5"/>
  <c r="J71" i="5"/>
  <c r="L71" i="5"/>
  <c r="E11" i="10"/>
  <c r="E14" i="10"/>
  <c r="Z14" i="10"/>
  <c r="AB108" i="11"/>
  <c r="H43" i="4"/>
  <c r="H55" i="4"/>
  <c r="C43" i="4"/>
  <c r="C55" i="4"/>
  <c r="F43" i="4"/>
  <c r="F55" i="4"/>
  <c r="G8" i="4"/>
  <c r="J31" i="4"/>
  <c r="G42" i="4"/>
  <c r="G54" i="4"/>
  <c r="G3" i="4"/>
  <c r="J26" i="4"/>
  <c r="H37" i="4"/>
  <c r="H44" i="4"/>
  <c r="E27" i="13"/>
  <c r="E31" i="13"/>
  <c r="I61" i="21"/>
  <c r="I63" i="21"/>
  <c r="I67" i="21"/>
  <c r="I51" i="24"/>
  <c r="E26" i="13"/>
  <c r="E30" i="13"/>
  <c r="G4" i="4"/>
  <c r="J27" i="4"/>
  <c r="C38" i="4"/>
  <c r="L33" i="4"/>
  <c r="F187" i="9"/>
  <c r="F31" i="12"/>
  <c r="I254" i="49"/>
  <c r="E29" i="13"/>
  <c r="E54" i="13"/>
  <c r="E5" i="10"/>
  <c r="E33" i="13"/>
  <c r="J36" i="21"/>
  <c r="F139" i="21"/>
  <c r="I14" i="24"/>
  <c r="I17" i="24"/>
  <c r="U22" i="4"/>
  <c r="V16" i="4"/>
  <c r="G9" i="24"/>
  <c r="I19" i="24"/>
  <c r="F87" i="7"/>
  <c r="D29" i="8"/>
  <c r="D32" i="8"/>
  <c r="D42" i="8"/>
  <c r="C62" i="13"/>
  <c r="I50" i="12"/>
  <c r="F33" i="12"/>
  <c r="I145" i="24"/>
  <c r="L20" i="22"/>
  <c r="K20" i="22"/>
  <c r="F189" i="9"/>
  <c r="G190" i="9"/>
  <c r="G186" i="9"/>
  <c r="J44" i="21"/>
  <c r="I65" i="21"/>
  <c r="E10" i="4"/>
  <c r="J12" i="22"/>
  <c r="J21" i="4"/>
  <c r="E10" i="14"/>
  <c r="G5" i="4"/>
  <c r="J28" i="4"/>
  <c r="G39" i="4"/>
  <c r="G51" i="4"/>
  <c r="G6" i="4"/>
  <c r="J29" i="4"/>
  <c r="C40" i="4"/>
  <c r="I44" i="4"/>
  <c r="G43" i="4"/>
  <c r="G55" i="4"/>
  <c r="I60" i="21"/>
  <c r="E49" i="24"/>
  <c r="I62" i="21"/>
  <c r="E51" i="24"/>
  <c r="I64" i="21"/>
  <c r="E53" i="24"/>
  <c r="I66" i="21"/>
  <c r="I50" i="24"/>
  <c r="I68" i="21"/>
  <c r="E28" i="13"/>
  <c r="F7" i="8"/>
  <c r="AO13" i="8"/>
  <c r="F14" i="8"/>
  <c r="F15" i="8"/>
  <c r="I17" i="8"/>
  <c r="S17" i="8"/>
  <c r="AE17" i="8"/>
  <c r="AO17" i="8"/>
  <c r="AG18" i="8"/>
  <c r="E2" i="3"/>
  <c r="E31" i="3"/>
  <c r="E37" i="3"/>
  <c r="E57" i="3"/>
  <c r="G17" i="8"/>
  <c r="Q17" i="8"/>
  <c r="AA17" i="8"/>
  <c r="AM17" i="8"/>
  <c r="S18" i="8"/>
  <c r="E25" i="13"/>
  <c r="E27" i="3"/>
  <c r="E51" i="3"/>
  <c r="T16" i="5"/>
  <c r="V16" i="5"/>
  <c r="J18" i="5"/>
  <c r="L18" i="5"/>
  <c r="T18" i="5"/>
  <c r="V18" i="5"/>
  <c r="T47" i="5"/>
  <c r="V47" i="5"/>
  <c r="J54" i="5"/>
  <c r="L54" i="5"/>
  <c r="T71" i="5"/>
  <c r="V71" i="5"/>
  <c r="Y13" i="8"/>
  <c r="O17" i="8"/>
  <c r="Y17" i="8"/>
  <c r="AI17" i="8"/>
  <c r="AA18" i="8"/>
  <c r="E3" i="3"/>
  <c r="F1" i="3"/>
  <c r="E19" i="3"/>
  <c r="E45" i="3"/>
  <c r="E12" i="8"/>
  <c r="E16" i="8"/>
  <c r="K17" i="8"/>
  <c r="W17" i="8"/>
  <c r="AG17" i="8"/>
  <c r="Y18" i="8"/>
  <c r="E30" i="8"/>
  <c r="E32" i="3"/>
  <c r="E41" i="3"/>
  <c r="E65" i="3"/>
  <c r="T31" i="5"/>
  <c r="V31" i="5"/>
  <c r="J38" i="5"/>
  <c r="L38" i="5"/>
  <c r="T63" i="5"/>
  <c r="V63" i="5"/>
  <c r="T24" i="5"/>
  <c r="V24" i="5"/>
  <c r="J27" i="5"/>
  <c r="L27" i="5"/>
  <c r="J28" i="5"/>
  <c r="L28" i="5"/>
  <c r="J29" i="5"/>
  <c r="L29" i="5"/>
  <c r="J35" i="5"/>
  <c r="L35" i="5"/>
  <c r="J36" i="5"/>
  <c r="L36" i="5"/>
  <c r="J37" i="5"/>
  <c r="L37" i="5"/>
  <c r="J43" i="5"/>
  <c r="L43" i="5"/>
  <c r="J44" i="5"/>
  <c r="L44" i="5"/>
  <c r="J45" i="5"/>
  <c r="L45" i="5"/>
  <c r="J51" i="5"/>
  <c r="L51" i="5"/>
  <c r="J52" i="5"/>
  <c r="L52" i="5"/>
  <c r="J53" i="5"/>
  <c r="L53" i="5"/>
  <c r="J59" i="5"/>
  <c r="L59" i="5"/>
  <c r="J60" i="5"/>
  <c r="L60" i="5"/>
  <c r="J61" i="5"/>
  <c r="L61" i="5"/>
  <c r="J67" i="5"/>
  <c r="L67" i="5"/>
  <c r="J68" i="5"/>
  <c r="L68" i="5"/>
  <c r="J69" i="5"/>
  <c r="L69" i="5"/>
  <c r="J24" i="5"/>
  <c r="L24" i="5"/>
  <c r="T25" i="5"/>
  <c r="V25" i="5"/>
  <c r="T26" i="5"/>
  <c r="V26" i="5"/>
  <c r="T32" i="5"/>
  <c r="V32" i="5"/>
  <c r="T33" i="5"/>
  <c r="V33" i="5"/>
  <c r="J34" i="5"/>
  <c r="L34" i="5"/>
  <c r="T34" i="5"/>
  <c r="V34" i="5"/>
  <c r="T40" i="5"/>
  <c r="V40" i="5"/>
  <c r="T41" i="5"/>
  <c r="V41" i="5"/>
  <c r="J42" i="5"/>
  <c r="L42" i="5"/>
  <c r="T42" i="5"/>
  <c r="V42" i="5"/>
  <c r="T48" i="5"/>
  <c r="V48" i="5"/>
  <c r="T49" i="5"/>
  <c r="V49" i="5"/>
  <c r="J50" i="5"/>
  <c r="L50" i="5"/>
  <c r="T50" i="5"/>
  <c r="V50" i="5"/>
  <c r="T56" i="5"/>
  <c r="V56" i="5"/>
  <c r="T57" i="5"/>
  <c r="V57" i="5"/>
  <c r="J58" i="5"/>
  <c r="L58" i="5"/>
  <c r="T58" i="5"/>
  <c r="V58" i="5"/>
  <c r="T64" i="5"/>
  <c r="V64" i="5"/>
  <c r="T65" i="5"/>
  <c r="V65" i="5"/>
  <c r="J66" i="5"/>
  <c r="L66" i="5"/>
  <c r="T66" i="5"/>
  <c r="V66" i="5"/>
  <c r="T72" i="5"/>
  <c r="V72" i="5"/>
  <c r="T73" i="5"/>
  <c r="V73" i="5"/>
  <c r="H49" i="4"/>
  <c r="I10" i="4"/>
  <c r="E91" i="7"/>
  <c r="F92" i="7"/>
  <c r="AA29" i="4"/>
  <c r="AA26" i="4"/>
  <c r="E41" i="14"/>
  <c r="C4" i="17"/>
  <c r="B92" i="7"/>
  <c r="B33" i="8"/>
  <c r="C7" i="13"/>
  <c r="E55" i="13"/>
  <c r="F29" i="8"/>
  <c r="E42" i="4"/>
  <c r="E54" i="4"/>
  <c r="D38" i="4"/>
  <c r="D50" i="4"/>
  <c r="H39" i="4"/>
  <c r="H51" i="4"/>
  <c r="E39" i="4"/>
  <c r="E51" i="4"/>
  <c r="F41" i="4"/>
  <c r="F53" i="4"/>
  <c r="G41" i="4"/>
  <c r="G53" i="4"/>
  <c r="J19" i="4"/>
  <c r="E41" i="4"/>
  <c r="E53" i="4"/>
  <c r="H41" i="4"/>
  <c r="H53" i="4"/>
  <c r="C41" i="4"/>
  <c r="I16" i="8"/>
  <c r="F51" i="3"/>
  <c r="F45" i="3"/>
  <c r="F32" i="3"/>
  <c r="F19" i="3"/>
  <c r="F27" i="3"/>
  <c r="F2" i="3"/>
  <c r="F39" i="3"/>
  <c r="F26" i="3"/>
  <c r="F55" i="3"/>
  <c r="F43" i="3"/>
  <c r="F64" i="3"/>
  <c r="F40" i="3"/>
  <c r="N75" i="21"/>
  <c r="J185" i="21"/>
  <c r="I74" i="21"/>
  <c r="L74" i="21"/>
  <c r="M74" i="21"/>
  <c r="I73" i="21"/>
  <c r="L73" i="21"/>
  <c r="M73" i="21"/>
  <c r="I72" i="21"/>
  <c r="L72" i="21"/>
  <c r="M72" i="21"/>
  <c r="I71" i="21"/>
  <c r="L71" i="21"/>
  <c r="M71" i="21"/>
  <c r="I70" i="21"/>
  <c r="L70" i="21"/>
  <c r="M70" i="21"/>
  <c r="F98" i="7"/>
  <c r="D43" i="4"/>
  <c r="D55" i="4"/>
  <c r="L60" i="21"/>
  <c r="L66" i="21"/>
  <c r="M66" i="21"/>
  <c r="L69" i="21"/>
  <c r="M69" i="21"/>
  <c r="F7" i="12"/>
  <c r="M17" i="8"/>
  <c r="U17" i="8"/>
  <c r="AC17" i="8"/>
  <c r="AK17" i="8"/>
  <c r="M18" i="8"/>
  <c r="J30" i="8"/>
  <c r="J40" i="21"/>
  <c r="C63" i="13"/>
  <c r="G30" i="8"/>
  <c r="H12" i="8"/>
  <c r="J10" i="5"/>
  <c r="L10" i="5"/>
  <c r="E9" i="3"/>
  <c r="E22" i="3"/>
  <c r="E24" i="3"/>
  <c r="E26" i="3"/>
  <c r="E40" i="3"/>
  <c r="E44" i="3"/>
  <c r="E50" i="3"/>
  <c r="E56" i="3"/>
  <c r="E64" i="3"/>
  <c r="J23" i="5"/>
  <c r="L23" i="5"/>
  <c r="E18" i="3"/>
  <c r="E23" i="3"/>
  <c r="E25" i="3"/>
  <c r="E33" i="3"/>
  <c r="E39" i="3"/>
  <c r="E43" i="3"/>
  <c r="E49" i="3"/>
  <c r="E55" i="3"/>
  <c r="E63" i="3"/>
  <c r="T23" i="5"/>
  <c r="V23" i="5"/>
  <c r="J25" i="5"/>
  <c r="L25" i="5"/>
  <c r="O18" i="8"/>
  <c r="W18" i="8"/>
  <c r="C68" i="13"/>
  <c r="U18" i="8"/>
  <c r="M13" i="8"/>
  <c r="F40" i="4"/>
  <c r="F52" i="4"/>
  <c r="H42" i="4"/>
  <c r="H54" i="4"/>
  <c r="AI18" i="8"/>
  <c r="AM18" i="8"/>
  <c r="AE18" i="8"/>
  <c r="G13" i="8"/>
  <c r="D20" i="8"/>
  <c r="D48" i="8"/>
  <c r="Q18" i="8"/>
  <c r="G18" i="8"/>
  <c r="AK18" i="8"/>
  <c r="E18" i="8"/>
  <c r="I18" i="8"/>
  <c r="AC18" i="8"/>
  <c r="AC13" i="8"/>
  <c r="F55" i="13"/>
  <c r="W13" i="8"/>
  <c r="AO18" i="8"/>
  <c r="AA13" i="8"/>
  <c r="K18" i="8"/>
  <c r="S13" i="8"/>
  <c r="I143" i="24"/>
  <c r="I153" i="24"/>
  <c r="L67" i="21"/>
  <c r="M67" i="21"/>
  <c r="F42" i="4"/>
  <c r="F54" i="4"/>
  <c r="C39" i="4"/>
  <c r="C42" i="4"/>
  <c r="L42" i="4"/>
  <c r="J20" i="4"/>
  <c r="L20" i="4"/>
  <c r="F20" i="8"/>
  <c r="G20" i="8"/>
  <c r="L64" i="21"/>
  <c r="M64" i="21"/>
  <c r="F39" i="4"/>
  <c r="F51" i="4"/>
  <c r="D42" i="4"/>
  <c r="D54" i="4"/>
  <c r="G16" i="8"/>
  <c r="L9" i="22"/>
  <c r="AK13" i="8"/>
  <c r="J16" i="4"/>
  <c r="L16" i="4"/>
  <c r="AG13" i="8"/>
  <c r="AI13" i="8"/>
  <c r="Q13" i="8"/>
  <c r="AE13" i="8"/>
  <c r="F41" i="12"/>
  <c r="C11" i="13"/>
  <c r="C18" i="13"/>
  <c r="E20" i="8"/>
  <c r="J10" i="22"/>
  <c r="L10" i="22"/>
  <c r="K10" i="22"/>
  <c r="U13" i="8"/>
  <c r="E37" i="4"/>
  <c r="E44" i="4"/>
  <c r="K13" i="8"/>
  <c r="O13" i="8"/>
  <c r="AM13" i="8"/>
  <c r="I13" i="8"/>
  <c r="A24" i="22"/>
  <c r="H15" i="8"/>
  <c r="G15" i="8"/>
  <c r="E40" i="4"/>
  <c r="E52" i="4"/>
  <c r="D40" i="4"/>
  <c r="D52" i="4"/>
  <c r="E6" i="10"/>
  <c r="Z17" i="10"/>
  <c r="F82" i="7"/>
  <c r="D24" i="8"/>
  <c r="E13" i="10"/>
  <c r="F25" i="3"/>
  <c r="F33" i="3"/>
  <c r="F9" i="3"/>
  <c r="H7" i="8"/>
  <c r="G7" i="8"/>
  <c r="L21" i="4"/>
  <c r="K43" i="4"/>
  <c r="K55" i="4"/>
  <c r="L19" i="22"/>
  <c r="K19" i="22"/>
  <c r="G188" i="9"/>
  <c r="L61" i="21"/>
  <c r="M61" i="21"/>
  <c r="E50" i="24"/>
  <c r="L65" i="21"/>
  <c r="M65" i="21"/>
  <c r="I49" i="24"/>
  <c r="V22" i="4"/>
  <c r="W16" i="4"/>
  <c r="W22" i="4"/>
  <c r="F38" i="4"/>
  <c r="F50" i="4"/>
  <c r="E38" i="4"/>
  <c r="E50" i="4"/>
  <c r="G38" i="4"/>
  <c r="G50" i="4"/>
  <c r="H38" i="4"/>
  <c r="H50" i="4"/>
  <c r="L63" i="21"/>
  <c r="M63" i="21"/>
  <c r="E52" i="24"/>
  <c r="F75" i="21"/>
  <c r="E32" i="13"/>
  <c r="J18" i="4"/>
  <c r="L18" i="4"/>
  <c r="F18" i="3"/>
  <c r="E32" i="8"/>
  <c r="F56" i="3"/>
  <c r="F24" i="3"/>
  <c r="F22" i="3"/>
  <c r="F63" i="3"/>
  <c r="F3" i="3"/>
  <c r="G1" i="3"/>
  <c r="G44" i="3"/>
  <c r="F41" i="3"/>
  <c r="F65" i="3"/>
  <c r="F48" i="8"/>
  <c r="H40" i="4"/>
  <c r="H52" i="4"/>
  <c r="G37" i="4"/>
  <c r="G49" i="4"/>
  <c r="J15" i="4"/>
  <c r="L18" i="22"/>
  <c r="K18" i="22"/>
  <c r="E98" i="7"/>
  <c r="E90" i="7"/>
  <c r="H14" i="8"/>
  <c r="G14" i="8"/>
  <c r="L68" i="21"/>
  <c r="M68" i="21"/>
  <c r="I52" i="24"/>
  <c r="J17" i="4"/>
  <c r="D39" i="4"/>
  <c r="D51" i="4"/>
  <c r="J9" i="22"/>
  <c r="F54" i="13"/>
  <c r="C37" i="4"/>
  <c r="C49" i="4"/>
  <c r="F37" i="4"/>
  <c r="F44" i="4"/>
  <c r="D41" i="8"/>
  <c r="L62" i="21"/>
  <c r="M62" i="21"/>
  <c r="F44" i="3"/>
  <c r="Z11" i="10"/>
  <c r="F23" i="3"/>
  <c r="F50" i="3"/>
  <c r="F67" i="3"/>
  <c r="F49" i="3"/>
  <c r="F31" i="3"/>
  <c r="F37" i="3"/>
  <c r="F57" i="3"/>
  <c r="G40" i="4"/>
  <c r="G52" i="4"/>
  <c r="D37" i="4"/>
  <c r="D49" i="4"/>
  <c r="E29" i="8"/>
  <c r="E47" i="13"/>
  <c r="E52" i="13"/>
  <c r="L48" i="17"/>
  <c r="L50" i="17"/>
  <c r="F50" i="12"/>
  <c r="G191" i="9"/>
  <c r="F191" i="9"/>
  <c r="L16" i="8"/>
  <c r="K16" i="8"/>
  <c r="L40" i="4"/>
  <c r="C52" i="4"/>
  <c r="H29" i="8"/>
  <c r="F32" i="8"/>
  <c r="G29" i="8"/>
  <c r="F41" i="8"/>
  <c r="AF33" i="8"/>
  <c r="AG33" i="8"/>
  <c r="X33" i="8"/>
  <c r="Y33" i="8"/>
  <c r="P33" i="8"/>
  <c r="Q33" i="8"/>
  <c r="H33" i="8"/>
  <c r="I33" i="8"/>
  <c r="AB33" i="8"/>
  <c r="AC33" i="8"/>
  <c r="T33" i="8"/>
  <c r="U33" i="8"/>
  <c r="L33" i="8"/>
  <c r="M33" i="8"/>
  <c r="D33" i="8"/>
  <c r="E33" i="8"/>
  <c r="Z33" i="8"/>
  <c r="AA33" i="8"/>
  <c r="J33" i="8"/>
  <c r="K33" i="8"/>
  <c r="AD33" i="8"/>
  <c r="AE33" i="8"/>
  <c r="N33" i="8"/>
  <c r="O33" i="8"/>
  <c r="R33" i="8"/>
  <c r="S33" i="8"/>
  <c r="F33" i="8"/>
  <c r="G33" i="8"/>
  <c r="V33" i="8"/>
  <c r="W33" i="8"/>
  <c r="M60" i="21"/>
  <c r="G9" i="3"/>
  <c r="C53" i="4"/>
  <c r="L41" i="4"/>
  <c r="L38" i="4"/>
  <c r="C50" i="4"/>
  <c r="L15" i="4"/>
  <c r="K37" i="4"/>
  <c r="D4" i="17"/>
  <c r="J12" i="8"/>
  <c r="I12" i="8"/>
  <c r="L30" i="8"/>
  <c r="K30" i="8"/>
  <c r="L37" i="4"/>
  <c r="L44" i="4"/>
  <c r="L13" i="22"/>
  <c r="K13" i="22"/>
  <c r="C44" i="4"/>
  <c r="C51" i="4"/>
  <c r="L39" i="4"/>
  <c r="K9" i="22"/>
  <c r="K41" i="4"/>
  <c r="K53" i="4"/>
  <c r="L19" i="4"/>
  <c r="L43" i="4"/>
  <c r="K40" i="4"/>
  <c r="K52" i="4"/>
  <c r="E49" i="4"/>
  <c r="K42" i="4"/>
  <c r="K54" i="4"/>
  <c r="G65" i="3"/>
  <c r="K38" i="4"/>
  <c r="K50" i="4"/>
  <c r="G19" i="3"/>
  <c r="G49" i="3"/>
  <c r="C54" i="4"/>
  <c r="F49" i="4"/>
  <c r="G25" i="3"/>
  <c r="G64" i="3"/>
  <c r="G45" i="3"/>
  <c r="G40" i="3"/>
  <c r="D44" i="4"/>
  <c r="G3" i="3"/>
  <c r="H1" i="3"/>
  <c r="H31" i="3"/>
  <c r="G51" i="3"/>
  <c r="G37" i="3"/>
  <c r="G23" i="3"/>
  <c r="G43" i="3"/>
  <c r="G67" i="3"/>
  <c r="G26" i="3"/>
  <c r="G56" i="3"/>
  <c r="G32" i="3"/>
  <c r="G41" i="3"/>
  <c r="G31" i="3"/>
  <c r="G18" i="3"/>
  <c r="G39" i="3"/>
  <c r="G63" i="3"/>
  <c r="G24" i="3"/>
  <c r="G50" i="3"/>
  <c r="G44" i="4"/>
  <c r="G27" i="3"/>
  <c r="G2" i="3"/>
  <c r="G57" i="3"/>
  <c r="G33" i="3"/>
  <c r="G55" i="3"/>
  <c r="G22" i="3"/>
  <c r="E32" i="15"/>
  <c r="J24" i="22"/>
  <c r="L24" i="22"/>
  <c r="K24" i="22"/>
  <c r="J9" i="4"/>
  <c r="X21" i="4"/>
  <c r="M21" i="4"/>
  <c r="J15" i="8"/>
  <c r="I15" i="8"/>
  <c r="F24" i="8"/>
  <c r="E24" i="8"/>
  <c r="M75" i="21"/>
  <c r="J184" i="21"/>
  <c r="J186" i="21"/>
  <c r="D172" i="21"/>
  <c r="J7" i="8"/>
  <c r="I7" i="8"/>
  <c r="E16" i="10"/>
  <c r="F13" i="10"/>
  <c r="G13" i="10"/>
  <c r="H13" i="10"/>
  <c r="I13" i="10"/>
  <c r="J13" i="10"/>
  <c r="K13" i="10"/>
  <c r="L13" i="10"/>
  <c r="M13" i="10"/>
  <c r="N13" i="10"/>
  <c r="O13" i="10"/>
  <c r="P13" i="10"/>
  <c r="Q13" i="10"/>
  <c r="R13" i="10"/>
  <c r="S13" i="10"/>
  <c r="T13" i="10"/>
  <c r="U13" i="10"/>
  <c r="V13" i="10"/>
  <c r="W13" i="10"/>
  <c r="Y13" i="10"/>
  <c r="L17" i="4"/>
  <c r="K39" i="4"/>
  <c r="K51" i="4"/>
  <c r="I14" i="8"/>
  <c r="J14" i="8"/>
  <c r="L75" i="21"/>
  <c r="H20" i="8"/>
  <c r="I20" i="8"/>
  <c r="M18" i="4"/>
  <c r="X18" i="4"/>
  <c r="J6" i="4"/>
  <c r="L17" i="22"/>
  <c r="K17" i="22"/>
  <c r="G192" i="9"/>
  <c r="X15" i="4"/>
  <c r="L22" i="4"/>
  <c r="J3" i="4"/>
  <c r="M15" i="4"/>
  <c r="H27" i="3"/>
  <c r="H45" i="3"/>
  <c r="H3" i="3"/>
  <c r="I1" i="3"/>
  <c r="H64" i="3"/>
  <c r="H49" i="3"/>
  <c r="H24" i="3"/>
  <c r="J29" i="8"/>
  <c r="H32" i="8"/>
  <c r="I29" i="8"/>
  <c r="H41" i="8"/>
  <c r="J4" i="4"/>
  <c r="M16" i="4"/>
  <c r="X16" i="4"/>
  <c r="N16" i="8"/>
  <c r="M16" i="8"/>
  <c r="X20" i="4"/>
  <c r="J8" i="4"/>
  <c r="M20" i="4"/>
  <c r="X19" i="4"/>
  <c r="J7" i="4"/>
  <c r="M19" i="4"/>
  <c r="L12" i="8"/>
  <c r="K12" i="8"/>
  <c r="N30" i="8"/>
  <c r="M30" i="8"/>
  <c r="K49" i="4"/>
  <c r="K44" i="4"/>
  <c r="F42" i="8"/>
  <c r="G32" i="8"/>
  <c r="I14" i="22"/>
  <c r="L14" i="22"/>
  <c r="K14" i="22"/>
  <c r="C71" i="13"/>
  <c r="C74" i="13"/>
  <c r="I157" i="24"/>
  <c r="F23" i="12"/>
  <c r="F22" i="12"/>
  <c r="L22" i="22"/>
  <c r="K22" i="22"/>
  <c r="H39" i="3"/>
  <c r="H18" i="3"/>
  <c r="H67" i="3"/>
  <c r="H26" i="3"/>
  <c r="H50" i="3"/>
  <c r="H44" i="3"/>
  <c r="H41" i="3"/>
  <c r="H2" i="3"/>
  <c r="H23" i="3"/>
  <c r="H19" i="3"/>
  <c r="H51" i="3"/>
  <c r="H43" i="3"/>
  <c r="H63" i="3"/>
  <c r="H40" i="3"/>
  <c r="H25" i="3"/>
  <c r="H32" i="3"/>
  <c r="H65" i="3"/>
  <c r="H55" i="3"/>
  <c r="H22" i="3"/>
  <c r="H33" i="3"/>
  <c r="H9" i="3"/>
  <c r="H56" i="3"/>
  <c r="H37" i="3"/>
  <c r="H57" i="3"/>
  <c r="Z13" i="10"/>
  <c r="H48" i="8"/>
  <c r="K14" i="8"/>
  <c r="L14" i="8"/>
  <c r="L7" i="8"/>
  <c r="K7" i="8"/>
  <c r="M9" i="4"/>
  <c r="L9" i="4"/>
  <c r="J5" i="4"/>
  <c r="X17" i="4"/>
  <c r="M17" i="4"/>
  <c r="H24" i="8"/>
  <c r="G24" i="8"/>
  <c r="AC21" i="4"/>
  <c r="Z21" i="4"/>
  <c r="AA21" i="4"/>
  <c r="AB21" i="4"/>
  <c r="E17" i="10"/>
  <c r="E18" i="10"/>
  <c r="F12" i="10"/>
  <c r="F15" i="10"/>
  <c r="F16" i="10"/>
  <c r="L15" i="8"/>
  <c r="L20" i="8"/>
  <c r="K15" i="8"/>
  <c r="J20" i="8"/>
  <c r="J48" i="8"/>
  <c r="N12" i="8"/>
  <c r="M12" i="8"/>
  <c r="P16" i="8"/>
  <c r="O16" i="8"/>
  <c r="L3" i="4"/>
  <c r="L10" i="4"/>
  <c r="M3" i="4"/>
  <c r="J10" i="4"/>
  <c r="AA19" i="4"/>
  <c r="AC19" i="4"/>
  <c r="AB19" i="4"/>
  <c r="Z19" i="4"/>
  <c r="M4" i="4"/>
  <c r="L4" i="4"/>
  <c r="K29" i="8"/>
  <c r="J32" i="8"/>
  <c r="L29" i="8"/>
  <c r="J41" i="8"/>
  <c r="I67" i="3"/>
  <c r="I63" i="3"/>
  <c r="I55" i="3"/>
  <c r="I49" i="3"/>
  <c r="I43" i="3"/>
  <c r="I39" i="3"/>
  <c r="I33" i="3"/>
  <c r="I25" i="3"/>
  <c r="I23" i="3"/>
  <c r="I18" i="3"/>
  <c r="I64" i="3"/>
  <c r="I56" i="3"/>
  <c r="I50" i="3"/>
  <c r="I44" i="3"/>
  <c r="I40" i="3"/>
  <c r="I26" i="3"/>
  <c r="I24" i="3"/>
  <c r="I22" i="3"/>
  <c r="I9" i="3"/>
  <c r="I32" i="3"/>
  <c r="I45" i="3"/>
  <c r="I2" i="3"/>
  <c r="I57" i="3"/>
  <c r="I37" i="3"/>
  <c r="I3" i="3"/>
  <c r="J1" i="3"/>
  <c r="I51" i="3"/>
  <c r="I27" i="3"/>
  <c r="I31" i="3"/>
  <c r="I19" i="3"/>
  <c r="I65" i="3"/>
  <c r="I41" i="3"/>
  <c r="L7" i="4"/>
  <c r="M7" i="4"/>
  <c r="AC20" i="4"/>
  <c r="AB20" i="4"/>
  <c r="Z20" i="4"/>
  <c r="AA20" i="4"/>
  <c r="H42" i="8"/>
  <c r="I32" i="8"/>
  <c r="AB15" i="4"/>
  <c r="AC15" i="4"/>
  <c r="X22" i="4"/>
  <c r="Z15" i="4"/>
  <c r="AA15" i="4"/>
  <c r="AB18" i="4"/>
  <c r="AA18" i="4"/>
  <c r="AC18" i="4"/>
  <c r="Z18" i="4"/>
  <c r="P30" i="8"/>
  <c r="O30" i="8"/>
  <c r="L8" i="4"/>
  <c r="M8" i="4"/>
  <c r="AA16" i="4"/>
  <c r="AB16" i="4"/>
  <c r="Z16" i="4"/>
  <c r="AC16" i="4"/>
  <c r="L6" i="4"/>
  <c r="M6" i="4"/>
  <c r="F18" i="10"/>
  <c r="F17" i="10"/>
  <c r="G12" i="10"/>
  <c r="G15" i="10"/>
  <c r="I24" i="8"/>
  <c r="J24" i="8"/>
  <c r="M14" i="8"/>
  <c r="N14" i="8"/>
  <c r="N15" i="8"/>
  <c r="N20" i="8"/>
  <c r="M15" i="8"/>
  <c r="L5" i="4"/>
  <c r="M5" i="4"/>
  <c r="N7" i="8"/>
  <c r="M7" i="8"/>
  <c r="K20" i="8"/>
  <c r="AC17" i="4"/>
  <c r="AB17" i="4"/>
  <c r="Z17" i="4"/>
  <c r="AA17" i="4"/>
  <c r="M29" i="8"/>
  <c r="L32" i="8"/>
  <c r="N29" i="8"/>
  <c r="L41" i="8"/>
  <c r="J65" i="3"/>
  <c r="J57" i="3"/>
  <c r="J51" i="3"/>
  <c r="J45" i="3"/>
  <c r="J41" i="3"/>
  <c r="J37" i="3"/>
  <c r="J32" i="3"/>
  <c r="J19" i="3"/>
  <c r="J3" i="3"/>
  <c r="K1" i="3"/>
  <c r="J31" i="3"/>
  <c r="J27" i="3"/>
  <c r="J2" i="3"/>
  <c r="J67" i="3"/>
  <c r="J55" i="3"/>
  <c r="J43" i="3"/>
  <c r="J24" i="3"/>
  <c r="J63" i="3"/>
  <c r="J49" i="3"/>
  <c r="J39" i="3"/>
  <c r="J26" i="3"/>
  <c r="J22" i="3"/>
  <c r="J44" i="3"/>
  <c r="J33" i="3"/>
  <c r="J25" i="3"/>
  <c r="J18" i="3"/>
  <c r="J9" i="3"/>
  <c r="J56" i="3"/>
  <c r="J50" i="3"/>
  <c r="J23" i="3"/>
  <c r="J64" i="3"/>
  <c r="J40" i="3"/>
  <c r="L48" i="8"/>
  <c r="M20" i="8"/>
  <c r="AA22" i="4"/>
  <c r="AA24" i="4"/>
  <c r="AC22" i="4"/>
  <c r="Z22" i="4"/>
  <c r="AB22" i="4"/>
  <c r="AB24" i="4"/>
  <c r="AB29" i="4"/>
  <c r="AC29" i="4"/>
  <c r="L11" i="22"/>
  <c r="R30" i="8"/>
  <c r="Q30" i="8"/>
  <c r="R16" i="8"/>
  <c r="Q16" i="8"/>
  <c r="K32" i="8"/>
  <c r="J42" i="8"/>
  <c r="F8" i="7"/>
  <c r="M33" i="4"/>
  <c r="M10" i="4"/>
  <c r="P12" i="8"/>
  <c r="O12" i="8"/>
  <c r="K24" i="8"/>
  <c r="L24" i="8"/>
  <c r="G16" i="10"/>
  <c r="G17" i="10"/>
  <c r="O14" i="8"/>
  <c r="P14" i="8"/>
  <c r="P7" i="8"/>
  <c r="O7" i="8"/>
  <c r="P15" i="8"/>
  <c r="O15" i="8"/>
  <c r="F12" i="7"/>
  <c r="F15" i="7"/>
  <c r="F19" i="7"/>
  <c r="D6" i="8"/>
  <c r="T30" i="8"/>
  <c r="S30" i="8"/>
  <c r="T16" i="8"/>
  <c r="S16" i="8"/>
  <c r="N48" i="8"/>
  <c r="O20" i="8"/>
  <c r="K11" i="22"/>
  <c r="J27" i="22"/>
  <c r="K64" i="3"/>
  <c r="K56" i="3"/>
  <c r="K50" i="3"/>
  <c r="K44" i="3"/>
  <c r="K40" i="3"/>
  <c r="K26" i="3"/>
  <c r="K24" i="3"/>
  <c r="K22" i="3"/>
  <c r="K9" i="3"/>
  <c r="K67" i="3"/>
  <c r="K63" i="3"/>
  <c r="K55" i="3"/>
  <c r="K49" i="3"/>
  <c r="K43" i="3"/>
  <c r="K39" i="3"/>
  <c r="K33" i="3"/>
  <c r="K25" i="3"/>
  <c r="K23" i="3"/>
  <c r="K18" i="3"/>
  <c r="K65" i="3"/>
  <c r="K51" i="3"/>
  <c r="K41" i="3"/>
  <c r="K27" i="3"/>
  <c r="K19" i="3"/>
  <c r="K3" i="3"/>
  <c r="L1" i="3"/>
  <c r="K57" i="3"/>
  <c r="K45" i="3"/>
  <c r="K37" i="3"/>
  <c r="K31" i="3"/>
  <c r="K2" i="3"/>
  <c r="K32" i="3"/>
  <c r="R12" i="8"/>
  <c r="Q12" i="8"/>
  <c r="L42" i="8"/>
  <c r="M32" i="8"/>
  <c r="O29" i="8"/>
  <c r="N41" i="8"/>
  <c r="N32" i="8"/>
  <c r="P29" i="8"/>
  <c r="H12" i="10"/>
  <c r="Q14" i="8"/>
  <c r="R14" i="8"/>
  <c r="R7" i="8"/>
  <c r="Q7" i="8"/>
  <c r="N24" i="8"/>
  <c r="M24" i="8"/>
  <c r="G18" i="10"/>
  <c r="R15" i="8"/>
  <c r="Q15" i="8"/>
  <c r="P20" i="8"/>
  <c r="P48" i="8"/>
  <c r="O32" i="8"/>
  <c r="N42" i="8"/>
  <c r="T12" i="8"/>
  <c r="R20" i="8"/>
  <c r="S12" i="8"/>
  <c r="V16" i="8"/>
  <c r="U16" i="8"/>
  <c r="D5" i="8"/>
  <c r="F20" i="7"/>
  <c r="F28" i="7"/>
  <c r="F80" i="7"/>
  <c r="F84" i="7"/>
  <c r="F90" i="7"/>
  <c r="R29" i="8"/>
  <c r="P32" i="8"/>
  <c r="Q29" i="8"/>
  <c r="P41" i="8"/>
  <c r="H15" i="10"/>
  <c r="E6" i="8"/>
  <c r="F6" i="8"/>
  <c r="V30" i="8"/>
  <c r="U30" i="8"/>
  <c r="L31" i="3"/>
  <c r="L27" i="3"/>
  <c r="L2" i="3"/>
  <c r="L65" i="3"/>
  <c r="L57" i="3"/>
  <c r="L51" i="3"/>
  <c r="L45" i="3"/>
  <c r="L41" i="3"/>
  <c r="L37" i="3"/>
  <c r="L32" i="3"/>
  <c r="L19" i="3"/>
  <c r="L3" i="3"/>
  <c r="M1" i="3"/>
  <c r="L64" i="3"/>
  <c r="L50" i="3"/>
  <c r="L40" i="3"/>
  <c r="L33" i="3"/>
  <c r="L23" i="3"/>
  <c r="L56" i="3"/>
  <c r="L44" i="3"/>
  <c r="L25" i="3"/>
  <c r="L18" i="3"/>
  <c r="L9" i="3"/>
  <c r="L67" i="3"/>
  <c r="L43" i="3"/>
  <c r="L49" i="3"/>
  <c r="L26" i="3"/>
  <c r="L22" i="3"/>
  <c r="L55" i="3"/>
  <c r="L63" i="3"/>
  <c r="L39" i="3"/>
  <c r="L24" i="3"/>
  <c r="Q20" i="8"/>
  <c r="O24" i="8"/>
  <c r="P24" i="8"/>
  <c r="T14" i="8"/>
  <c r="S14" i="8"/>
  <c r="T7" i="8"/>
  <c r="S7" i="8"/>
  <c r="T15" i="8"/>
  <c r="S15" i="8"/>
  <c r="Q32" i="8"/>
  <c r="P42" i="8"/>
  <c r="T20" i="8"/>
  <c r="V12" i="8"/>
  <c r="U12" i="8"/>
  <c r="M67" i="3"/>
  <c r="M63" i="3"/>
  <c r="M55" i="3"/>
  <c r="M49" i="3"/>
  <c r="M43" i="3"/>
  <c r="M39" i="3"/>
  <c r="M33" i="3"/>
  <c r="M25" i="3"/>
  <c r="M23" i="3"/>
  <c r="M18" i="3"/>
  <c r="M64" i="3"/>
  <c r="M56" i="3"/>
  <c r="M50" i="3"/>
  <c r="M44" i="3"/>
  <c r="M40" i="3"/>
  <c r="M26" i="3"/>
  <c r="M24" i="3"/>
  <c r="M22" i="3"/>
  <c r="M9" i="3"/>
  <c r="M32" i="3"/>
  <c r="M65" i="3"/>
  <c r="M41" i="3"/>
  <c r="M51" i="3"/>
  <c r="M27" i="3"/>
  <c r="M45" i="3"/>
  <c r="M2" i="3"/>
  <c r="M19" i="3"/>
  <c r="M3" i="3"/>
  <c r="N1" i="3"/>
  <c r="M57" i="3"/>
  <c r="M37" i="3"/>
  <c r="M31" i="3"/>
  <c r="D9" i="8"/>
  <c r="F5" i="8"/>
  <c r="E5" i="8"/>
  <c r="S20" i="8"/>
  <c r="R48" i="8"/>
  <c r="X30" i="8"/>
  <c r="W30" i="8"/>
  <c r="G6" i="8"/>
  <c r="H6" i="8"/>
  <c r="F93" i="7"/>
  <c r="F95" i="7"/>
  <c r="S29" i="8"/>
  <c r="R41" i="8"/>
  <c r="T29" i="8"/>
  <c r="R32" i="8"/>
  <c r="X16" i="8"/>
  <c r="W16" i="8"/>
  <c r="H16" i="10"/>
  <c r="V7" i="8"/>
  <c r="U7" i="8"/>
  <c r="R24" i="8"/>
  <c r="Q24" i="8"/>
  <c r="V15" i="8"/>
  <c r="U15" i="8"/>
  <c r="V14" i="8"/>
  <c r="U14" i="8"/>
  <c r="T48" i="8"/>
  <c r="U20" i="8"/>
  <c r="X12" i="8"/>
  <c r="W12" i="8"/>
  <c r="H17" i="10"/>
  <c r="H18" i="10"/>
  <c r="I12" i="10"/>
  <c r="U29" i="8"/>
  <c r="V29" i="8"/>
  <c r="T41" i="8"/>
  <c r="T32" i="8"/>
  <c r="D22" i="8"/>
  <c r="D45" i="8"/>
  <c r="E9" i="8"/>
  <c r="N65" i="3"/>
  <c r="N57" i="3"/>
  <c r="N51" i="3"/>
  <c r="N45" i="3"/>
  <c r="N41" i="3"/>
  <c r="N37" i="3"/>
  <c r="N32" i="3"/>
  <c r="N19" i="3"/>
  <c r="N3" i="3"/>
  <c r="O1" i="3"/>
  <c r="N31" i="3"/>
  <c r="N27" i="3"/>
  <c r="N2" i="3"/>
  <c r="N63" i="3"/>
  <c r="N49" i="3"/>
  <c r="N39" i="3"/>
  <c r="N26" i="3"/>
  <c r="N22" i="3"/>
  <c r="N67" i="3"/>
  <c r="N55" i="3"/>
  <c r="N43" i="3"/>
  <c r="N24" i="3"/>
  <c r="N64" i="3"/>
  <c r="N40" i="3"/>
  <c r="N50" i="3"/>
  <c r="N44" i="3"/>
  <c r="N33" i="3"/>
  <c r="N25" i="3"/>
  <c r="N18" i="3"/>
  <c r="N9" i="3"/>
  <c r="N56" i="3"/>
  <c r="N23" i="3"/>
  <c r="Z16" i="8"/>
  <c r="Y16" i="8"/>
  <c r="Z30" i="8"/>
  <c r="Y30" i="8"/>
  <c r="S32" i="8"/>
  <c r="R42" i="8"/>
  <c r="J6" i="8"/>
  <c r="I6" i="8"/>
  <c r="G5" i="8"/>
  <c r="H5" i="8"/>
  <c r="F9" i="8"/>
  <c r="V20" i="8"/>
  <c r="W20" i="8"/>
  <c r="X15" i="8"/>
  <c r="W15" i="8"/>
  <c r="X7" i="8"/>
  <c r="W7" i="8"/>
  <c r="W14" i="8"/>
  <c r="X14" i="8"/>
  <c r="T24" i="8"/>
  <c r="S24" i="8"/>
  <c r="F22" i="8"/>
  <c r="F45" i="8"/>
  <c r="G9" i="8"/>
  <c r="E22" i="8"/>
  <c r="D26" i="8"/>
  <c r="V48" i="8"/>
  <c r="U32" i="8"/>
  <c r="T42" i="8"/>
  <c r="I15" i="10"/>
  <c r="I16" i="10"/>
  <c r="Z12" i="8"/>
  <c r="Y12" i="8"/>
  <c r="K6" i="8"/>
  <c r="L6" i="8"/>
  <c r="AB30" i="8"/>
  <c r="AA30" i="8"/>
  <c r="AB16" i="8"/>
  <c r="AA16" i="8"/>
  <c r="H9" i="8"/>
  <c r="I5" i="8"/>
  <c r="J5" i="8"/>
  <c r="O64" i="3"/>
  <c r="O56" i="3"/>
  <c r="O50" i="3"/>
  <c r="O44" i="3"/>
  <c r="O40" i="3"/>
  <c r="O26" i="3"/>
  <c r="O24" i="3"/>
  <c r="O22" i="3"/>
  <c r="O9" i="3"/>
  <c r="O67" i="3"/>
  <c r="O63" i="3"/>
  <c r="O55" i="3"/>
  <c r="O49" i="3"/>
  <c r="O43" i="3"/>
  <c r="O39" i="3"/>
  <c r="O33" i="3"/>
  <c r="O25" i="3"/>
  <c r="O23" i="3"/>
  <c r="O18" i="3"/>
  <c r="O57" i="3"/>
  <c r="O45" i="3"/>
  <c r="O37" i="3"/>
  <c r="O31" i="3"/>
  <c r="O2" i="3"/>
  <c r="O65" i="3"/>
  <c r="O51" i="3"/>
  <c r="O41" i="3"/>
  <c r="O27" i="3"/>
  <c r="O19" i="3"/>
  <c r="O3" i="3"/>
  <c r="P1" i="3"/>
  <c r="O32" i="3"/>
  <c r="V41" i="8"/>
  <c r="W29" i="8"/>
  <c r="X29" i="8"/>
  <c r="V32" i="8"/>
  <c r="Z15" i="8"/>
  <c r="Y15" i="8"/>
  <c r="Y14" i="8"/>
  <c r="Z14" i="8"/>
  <c r="U24" i="8"/>
  <c r="V24" i="8"/>
  <c r="Z7" i="8"/>
  <c r="Y7" i="8"/>
  <c r="X20" i="8"/>
  <c r="Y20" i="8"/>
  <c r="I17" i="10"/>
  <c r="I18" i="10"/>
  <c r="J12" i="10"/>
  <c r="L5" i="8"/>
  <c r="J9" i="8"/>
  <c r="K5" i="8"/>
  <c r="AD30" i="8"/>
  <c r="AC30" i="8"/>
  <c r="AB12" i="8"/>
  <c r="Z20" i="8"/>
  <c r="AA12" i="8"/>
  <c r="F26" i="8"/>
  <c r="G22" i="8"/>
  <c r="P31" i="3"/>
  <c r="P27" i="3"/>
  <c r="P2" i="3"/>
  <c r="P65" i="3"/>
  <c r="P57" i="3"/>
  <c r="P51" i="3"/>
  <c r="P45" i="3"/>
  <c r="P41" i="3"/>
  <c r="P37" i="3"/>
  <c r="P32" i="3"/>
  <c r="P19" i="3"/>
  <c r="P3" i="3"/>
  <c r="Q1" i="3"/>
  <c r="P56" i="3"/>
  <c r="P44" i="3"/>
  <c r="P25" i="3"/>
  <c r="P18" i="3"/>
  <c r="P9" i="3"/>
  <c r="P64" i="3"/>
  <c r="P50" i="3"/>
  <c r="P40" i="3"/>
  <c r="P33" i="3"/>
  <c r="P23" i="3"/>
  <c r="P63" i="3"/>
  <c r="P39" i="3"/>
  <c r="P24" i="3"/>
  <c r="P26" i="3"/>
  <c r="P22" i="3"/>
  <c r="P67" i="3"/>
  <c r="P43" i="3"/>
  <c r="P49" i="3"/>
  <c r="P55" i="3"/>
  <c r="H45" i="8"/>
  <c r="I9" i="8"/>
  <c r="H22" i="8"/>
  <c r="AD16" i="8"/>
  <c r="AC16" i="8"/>
  <c r="X32" i="8"/>
  <c r="X41" i="8"/>
  <c r="Z29" i="8"/>
  <c r="Y29" i="8"/>
  <c r="E26" i="8"/>
  <c r="D35" i="8"/>
  <c r="W32" i="8"/>
  <c r="V42" i="8"/>
  <c r="M6" i="8"/>
  <c r="N6" i="8"/>
  <c r="X48" i="8"/>
  <c r="AB15" i="8"/>
  <c r="AA15" i="8"/>
  <c r="X24" i="8"/>
  <c r="W24" i="8"/>
  <c r="AB7" i="8"/>
  <c r="AA7" i="8"/>
  <c r="AB14" i="8"/>
  <c r="AA14" i="8"/>
  <c r="I22" i="8"/>
  <c r="H26" i="8"/>
  <c r="AF30" i="8"/>
  <c r="AE30" i="8"/>
  <c r="AF16" i="8"/>
  <c r="AE16" i="8"/>
  <c r="F35" i="8"/>
  <c r="G26" i="8"/>
  <c r="O6" i="8"/>
  <c r="P6" i="8"/>
  <c r="E35" i="8"/>
  <c r="D37" i="8"/>
  <c r="E4" i="17"/>
  <c r="D36" i="8"/>
  <c r="Q67" i="3"/>
  <c r="Q63" i="3"/>
  <c r="Q55" i="3"/>
  <c r="Q49" i="3"/>
  <c r="Q43" i="3"/>
  <c r="Q39" i="3"/>
  <c r="Q33" i="3"/>
  <c r="Q25" i="3"/>
  <c r="Q23" i="3"/>
  <c r="Q18" i="3"/>
  <c r="Q64" i="3"/>
  <c r="Q56" i="3"/>
  <c r="Q50" i="3"/>
  <c r="Q44" i="3"/>
  <c r="Q40" i="3"/>
  <c r="Q26" i="3"/>
  <c r="Q24" i="3"/>
  <c r="Q22" i="3"/>
  <c r="Q9" i="3"/>
  <c r="Q32" i="3"/>
  <c r="Q57" i="3"/>
  <c r="Q37" i="3"/>
  <c r="Q31" i="3"/>
  <c r="Q19" i="3"/>
  <c r="Q3" i="3"/>
  <c r="R1" i="3"/>
  <c r="Q45" i="3"/>
  <c r="Q65" i="3"/>
  <c r="Q41" i="3"/>
  <c r="Q2" i="3"/>
  <c r="Q27" i="3"/>
  <c r="Q51" i="3"/>
  <c r="AD12" i="8"/>
  <c r="AC12" i="8"/>
  <c r="J22" i="8"/>
  <c r="J45" i="8"/>
  <c r="K9" i="8"/>
  <c r="J15" i="10"/>
  <c r="J16" i="10"/>
  <c r="Z32" i="8"/>
  <c r="AA29" i="8"/>
  <c r="Z41" i="8"/>
  <c r="AB29" i="8"/>
  <c r="M5" i="8"/>
  <c r="L9" i="8"/>
  <c r="N5" i="8"/>
  <c r="X42" i="8"/>
  <c r="Y32" i="8"/>
  <c r="AA20" i="8"/>
  <c r="Z48" i="8"/>
  <c r="D38" i="8"/>
  <c r="AB20" i="8"/>
  <c r="AC20" i="8"/>
  <c r="F36" i="8"/>
  <c r="AD7" i="8"/>
  <c r="AC7" i="8"/>
  <c r="AC14" i="8"/>
  <c r="AD14" i="8"/>
  <c r="Z24" i="8"/>
  <c r="Y24" i="8"/>
  <c r="AD15" i="8"/>
  <c r="AC15" i="8"/>
  <c r="J18" i="10"/>
  <c r="K12" i="10"/>
  <c r="J17" i="10"/>
  <c r="AA32" i="8"/>
  <c r="Z42" i="8"/>
  <c r="Q6" i="8"/>
  <c r="R6" i="8"/>
  <c r="I26" i="8"/>
  <c r="H35" i="8"/>
  <c r="L45" i="8"/>
  <c r="L22" i="8"/>
  <c r="M9" i="8"/>
  <c r="AF12" i="8"/>
  <c r="AE12" i="8"/>
  <c r="R65" i="3"/>
  <c r="R57" i="3"/>
  <c r="R51" i="3"/>
  <c r="R45" i="3"/>
  <c r="R41" i="3"/>
  <c r="R37" i="3"/>
  <c r="R32" i="3"/>
  <c r="R19" i="3"/>
  <c r="R3" i="3"/>
  <c r="S1" i="3"/>
  <c r="R31" i="3"/>
  <c r="R27" i="3"/>
  <c r="R2" i="3"/>
  <c r="R67" i="3"/>
  <c r="R55" i="3"/>
  <c r="R43" i="3"/>
  <c r="R24" i="3"/>
  <c r="R63" i="3"/>
  <c r="R49" i="3"/>
  <c r="R39" i="3"/>
  <c r="R26" i="3"/>
  <c r="R22" i="3"/>
  <c r="R56" i="3"/>
  <c r="R23" i="3"/>
  <c r="R18" i="3"/>
  <c r="R64" i="3"/>
  <c r="R40" i="3"/>
  <c r="R44" i="3"/>
  <c r="R33" i="3"/>
  <c r="R25" i="3"/>
  <c r="R9" i="3"/>
  <c r="R50" i="3"/>
  <c r="F37" i="8"/>
  <c r="E5" i="17"/>
  <c r="G35" i="8"/>
  <c r="AH30" i="8"/>
  <c r="AG30" i="8"/>
  <c r="AC29" i="8"/>
  <c r="AB32" i="8"/>
  <c r="AD29" i="8"/>
  <c r="AB41" i="8"/>
  <c r="J26" i="8"/>
  <c r="K22" i="8"/>
  <c r="AH16" i="8"/>
  <c r="AG16" i="8"/>
  <c r="O5" i="8"/>
  <c r="N9" i="8"/>
  <c r="P5" i="8"/>
  <c r="F4" i="17"/>
  <c r="J4" i="17"/>
  <c r="K4" i="17"/>
  <c r="G4" i="17"/>
  <c r="C5" i="17"/>
  <c r="AD20" i="8"/>
  <c r="AB48" i="8"/>
  <c r="AB24" i="8"/>
  <c r="AA24" i="8"/>
  <c r="AF7" i="8"/>
  <c r="AE7" i="8"/>
  <c r="G5" i="17"/>
  <c r="C6" i="17"/>
  <c r="H37" i="8"/>
  <c r="E6" i="17"/>
  <c r="G6" i="17"/>
  <c r="C7" i="17"/>
  <c r="AF15" i="8"/>
  <c r="AE15" i="8"/>
  <c r="AE14" i="8"/>
  <c r="AF14" i="8"/>
  <c r="AB42" i="8"/>
  <c r="AC32" i="8"/>
  <c r="J5" i="17"/>
  <c r="K5" i="17"/>
  <c r="M5" i="17"/>
  <c r="F5" i="17"/>
  <c r="L26" i="8"/>
  <c r="M22" i="8"/>
  <c r="H38" i="8"/>
  <c r="I35" i="8"/>
  <c r="L45" i="17"/>
  <c r="M4" i="17"/>
  <c r="L46" i="17"/>
  <c r="AJ16" i="8"/>
  <c r="AI16" i="8"/>
  <c r="AE29" i="8"/>
  <c r="AD41" i="8"/>
  <c r="AD32" i="8"/>
  <c r="AF29" i="8"/>
  <c r="S64" i="3"/>
  <c r="S56" i="3"/>
  <c r="S50" i="3"/>
  <c r="S44" i="3"/>
  <c r="S40" i="3"/>
  <c r="S26" i="3"/>
  <c r="S24" i="3"/>
  <c r="S22" i="3"/>
  <c r="S9" i="3"/>
  <c r="S67" i="3"/>
  <c r="S63" i="3"/>
  <c r="S55" i="3"/>
  <c r="S49" i="3"/>
  <c r="S43" i="3"/>
  <c r="S39" i="3"/>
  <c r="S33" i="3"/>
  <c r="S25" i="3"/>
  <c r="S23" i="3"/>
  <c r="S18" i="3"/>
  <c r="S65" i="3"/>
  <c r="S51" i="3"/>
  <c r="S41" i="3"/>
  <c r="S27" i="3"/>
  <c r="S19" i="3"/>
  <c r="S3" i="3"/>
  <c r="T1" i="3"/>
  <c r="S57" i="3"/>
  <c r="S45" i="3"/>
  <c r="S37" i="3"/>
  <c r="S31" i="3"/>
  <c r="S2" i="3"/>
  <c r="S32" i="3"/>
  <c r="K15" i="10"/>
  <c r="K16" i="10"/>
  <c r="F38" i="8"/>
  <c r="O9" i="8"/>
  <c r="N45" i="8"/>
  <c r="N22" i="8"/>
  <c r="AD48" i="8"/>
  <c r="AE20" i="8"/>
  <c r="S6" i="8"/>
  <c r="T6" i="8"/>
  <c r="P9" i="8"/>
  <c r="Q5" i="8"/>
  <c r="R5" i="8"/>
  <c r="J35" i="8"/>
  <c r="K26" i="8"/>
  <c r="AJ30" i="8"/>
  <c r="AI30" i="8"/>
  <c r="AH12" i="8"/>
  <c r="AG12" i="8"/>
  <c r="H36" i="8"/>
  <c r="J36" i="8"/>
  <c r="AH14" i="8"/>
  <c r="AG14" i="8"/>
  <c r="AC24" i="8"/>
  <c r="AD24" i="8"/>
  <c r="AH15" i="8"/>
  <c r="AG15" i="8"/>
  <c r="AH7" i="8"/>
  <c r="AG7" i="8"/>
  <c r="AF20" i="8"/>
  <c r="AG20" i="8"/>
  <c r="S5" i="8"/>
  <c r="R9" i="8"/>
  <c r="T5" i="8"/>
  <c r="M26" i="8"/>
  <c r="L35" i="8"/>
  <c r="V6" i="8"/>
  <c r="U6" i="8"/>
  <c r="AJ12" i="8"/>
  <c r="AI12" i="8"/>
  <c r="P45" i="8"/>
  <c r="Q9" i="8"/>
  <c r="P22" i="8"/>
  <c r="J6" i="17"/>
  <c r="K6" i="17"/>
  <c r="M6" i="17"/>
  <c r="F6" i="17"/>
  <c r="AH29" i="8"/>
  <c r="AF41" i="8"/>
  <c r="AG29" i="8"/>
  <c r="AF32" i="8"/>
  <c r="J37" i="8"/>
  <c r="E7" i="17"/>
  <c r="K35" i="8"/>
  <c r="AL30" i="8"/>
  <c r="AK30" i="8"/>
  <c r="O22" i="8"/>
  <c r="N26" i="8"/>
  <c r="K18" i="10"/>
  <c r="L12" i="10"/>
  <c r="K17" i="10"/>
  <c r="T31" i="3"/>
  <c r="T27" i="3"/>
  <c r="T2" i="3"/>
  <c r="T65" i="3"/>
  <c r="T57" i="3"/>
  <c r="T51" i="3"/>
  <c r="T45" i="3"/>
  <c r="T41" i="3"/>
  <c r="T37" i="3"/>
  <c r="T32" i="3"/>
  <c r="T19" i="3"/>
  <c r="T3" i="3"/>
  <c r="U1" i="3"/>
  <c r="T64" i="3"/>
  <c r="T50" i="3"/>
  <c r="T40" i="3"/>
  <c r="T33" i="3"/>
  <c r="T23" i="3"/>
  <c r="T56" i="3"/>
  <c r="T44" i="3"/>
  <c r="T25" i="3"/>
  <c r="T18" i="3"/>
  <c r="T9" i="3"/>
  <c r="T55" i="3"/>
  <c r="T43" i="3"/>
  <c r="T63" i="3"/>
  <c r="T39" i="3"/>
  <c r="T24" i="3"/>
  <c r="T67" i="3"/>
  <c r="T22" i="3"/>
  <c r="T49" i="3"/>
  <c r="T26" i="3"/>
  <c r="AE32" i="8"/>
  <c r="AD42" i="8"/>
  <c r="AL16" i="8"/>
  <c r="AK16" i="8"/>
  <c r="AF48" i="8"/>
  <c r="AJ15" i="8"/>
  <c r="AI15" i="8"/>
  <c r="AI14" i="8"/>
  <c r="AJ14" i="8"/>
  <c r="AJ7" i="8"/>
  <c r="AI7" i="8"/>
  <c r="AE24" i="8"/>
  <c r="AF24" i="8"/>
  <c r="AH20" i="8"/>
  <c r="AH48" i="8"/>
  <c r="O26" i="8"/>
  <c r="N35" i="8"/>
  <c r="AJ29" i="8"/>
  <c r="AH41" i="8"/>
  <c r="AH32" i="8"/>
  <c r="AI29" i="8"/>
  <c r="L37" i="8"/>
  <c r="E8" i="17"/>
  <c r="M35" i="8"/>
  <c r="AN16" i="8"/>
  <c r="AM16" i="8"/>
  <c r="AN30" i="8"/>
  <c r="AM30" i="8"/>
  <c r="AL12" i="8"/>
  <c r="AK12" i="8"/>
  <c r="X6" i="8"/>
  <c r="W6" i="8"/>
  <c r="R22" i="8"/>
  <c r="S9" i="8"/>
  <c r="R45" i="8"/>
  <c r="L15" i="10"/>
  <c r="L16" i="10"/>
  <c r="J7" i="17"/>
  <c r="K7" i="17"/>
  <c r="M7" i="17"/>
  <c r="F7" i="17"/>
  <c r="Q22" i="8"/>
  <c r="P26" i="8"/>
  <c r="T9" i="8"/>
  <c r="U5" i="8"/>
  <c r="V5" i="8"/>
  <c r="U67" i="3"/>
  <c r="U63" i="3"/>
  <c r="U55" i="3"/>
  <c r="U49" i="3"/>
  <c r="U43" i="3"/>
  <c r="U39" i="3"/>
  <c r="U33" i="3"/>
  <c r="U25" i="3"/>
  <c r="U23" i="3"/>
  <c r="U18" i="3"/>
  <c r="U64" i="3"/>
  <c r="U56" i="3"/>
  <c r="U50" i="3"/>
  <c r="U44" i="3"/>
  <c r="U40" i="3"/>
  <c r="U26" i="3"/>
  <c r="U24" i="3"/>
  <c r="U22" i="3"/>
  <c r="U9" i="3"/>
  <c r="C9" i="3"/>
  <c r="U32" i="3"/>
  <c r="U51" i="3"/>
  <c r="U27" i="3"/>
  <c r="U65" i="3"/>
  <c r="U41" i="3"/>
  <c r="U57" i="3"/>
  <c r="U37" i="3"/>
  <c r="C37" i="3"/>
  <c r="U31" i="3"/>
  <c r="U19" i="3"/>
  <c r="C19" i="3"/>
  <c r="C18" i="3"/>
  <c r="U3" i="3"/>
  <c r="U45" i="3"/>
  <c r="U2" i="3"/>
  <c r="AG32" i="8"/>
  <c r="AF42" i="8"/>
  <c r="J15" i="22"/>
  <c r="L15" i="22"/>
  <c r="K15" i="22"/>
  <c r="G7" i="17"/>
  <c r="C8" i="17"/>
  <c r="G8" i="17"/>
  <c r="C9" i="17"/>
  <c r="J38" i="8"/>
  <c r="L36" i="8"/>
  <c r="AJ20" i="8"/>
  <c r="L38" i="8"/>
  <c r="AI20" i="8"/>
  <c r="AL7" i="8"/>
  <c r="AK7" i="8"/>
  <c r="AL15" i="8"/>
  <c r="AK15" i="8"/>
  <c r="AH24" i="8"/>
  <c r="AG24" i="8"/>
  <c r="AK14" i="8"/>
  <c r="AL14" i="8"/>
  <c r="N37" i="8"/>
  <c r="E9" i="17"/>
  <c r="O35" i="8"/>
  <c r="D31" i="3"/>
  <c r="D32" i="3"/>
  <c r="D40" i="3"/>
  <c r="D44" i="3"/>
  <c r="D50" i="3"/>
  <c r="D56" i="3"/>
  <c r="D64" i="3"/>
  <c r="D22" i="3"/>
  <c r="P35" i="8"/>
  <c r="Q26" i="8"/>
  <c r="S22" i="8"/>
  <c r="R26" i="8"/>
  <c r="AN12" i="8"/>
  <c r="AM12" i="8"/>
  <c r="J8" i="17"/>
  <c r="K8" i="17"/>
  <c r="M8" i="17"/>
  <c r="F8" i="17"/>
  <c r="AK29" i="8"/>
  <c r="AL29" i="8"/>
  <c r="AJ41" i="8"/>
  <c r="AJ32" i="8"/>
  <c r="Y6" i="8"/>
  <c r="Z6" i="8"/>
  <c r="AI32" i="8"/>
  <c r="AH42" i="8"/>
  <c r="U9" i="8"/>
  <c r="T22" i="8"/>
  <c r="T45" i="8"/>
  <c r="L17" i="10"/>
  <c r="L18" i="10"/>
  <c r="M12" i="10"/>
  <c r="AJ48" i="8"/>
  <c r="AK20" i="8"/>
  <c r="AP16" i="8"/>
  <c r="AQ16" i="8"/>
  <c r="AO16" i="8"/>
  <c r="X5" i="8"/>
  <c r="V9" i="8"/>
  <c r="W5" i="8"/>
  <c r="AP30" i="8"/>
  <c r="AQ30" i="8"/>
  <c r="AO30" i="8"/>
  <c r="N36" i="8"/>
  <c r="P36" i="8"/>
  <c r="AL20" i="8"/>
  <c r="AM20" i="8"/>
  <c r="AJ24" i="8"/>
  <c r="AI24" i="8"/>
  <c r="AN7" i="8"/>
  <c r="AM7" i="8"/>
  <c r="AN15" i="8"/>
  <c r="AM15" i="8"/>
  <c r="AN14" i="8"/>
  <c r="AM14" i="8"/>
  <c r="R35" i="8"/>
  <c r="R36" i="8"/>
  <c r="S26" i="8"/>
  <c r="D27" i="3"/>
  <c r="C27" i="3"/>
  <c r="D26" i="3"/>
  <c r="Y5" i="8"/>
  <c r="Z5" i="8"/>
  <c r="X9" i="8"/>
  <c r="AK32" i="8"/>
  <c r="AJ42" i="8"/>
  <c r="P37" i="8"/>
  <c r="E10" i="17"/>
  <c r="Q35" i="8"/>
  <c r="N38" i="8"/>
  <c r="AL41" i="8"/>
  <c r="AM29" i="8"/>
  <c r="AN29" i="8"/>
  <c r="AL32" i="8"/>
  <c r="J9" i="17"/>
  <c r="K9" i="17"/>
  <c r="M9" i="17"/>
  <c r="F9" i="17"/>
  <c r="AB6" i="8"/>
  <c r="AA6" i="8"/>
  <c r="V22" i="8"/>
  <c r="W9" i="8"/>
  <c r="V45" i="8"/>
  <c r="M15" i="10"/>
  <c r="M16" i="10"/>
  <c r="T26" i="8"/>
  <c r="U22" i="8"/>
  <c r="AP12" i="8"/>
  <c r="AO12" i="8"/>
  <c r="D33" i="3"/>
  <c r="C33" i="3"/>
  <c r="D39" i="3"/>
  <c r="G9" i="17"/>
  <c r="C10" i="17"/>
  <c r="P38" i="8"/>
  <c r="G10" i="17"/>
  <c r="C11" i="17"/>
  <c r="AL48" i="8"/>
  <c r="AP15" i="8"/>
  <c r="AQ15" i="8"/>
  <c r="AO15" i="8"/>
  <c r="AK24" i="8"/>
  <c r="AL24" i="8"/>
  <c r="AO14" i="8"/>
  <c r="AP14" i="8"/>
  <c r="AQ14" i="8"/>
  <c r="AP7" i="8"/>
  <c r="AQ7" i="8"/>
  <c r="AO7" i="8"/>
  <c r="AN20" i="8"/>
  <c r="AO20" i="8"/>
  <c r="AQ12" i="8"/>
  <c r="M17" i="10"/>
  <c r="M18" i="10"/>
  <c r="N12" i="10"/>
  <c r="V26" i="8"/>
  <c r="W22" i="8"/>
  <c r="R37" i="8"/>
  <c r="E11" i="17"/>
  <c r="G11" i="17"/>
  <c r="C12" i="17"/>
  <c r="S35" i="8"/>
  <c r="U26" i="8"/>
  <c r="T35" i="8"/>
  <c r="Z9" i="8"/>
  <c r="AB5" i="8"/>
  <c r="AA5" i="8"/>
  <c r="T36" i="8"/>
  <c r="AC6" i="8"/>
  <c r="AD6" i="8"/>
  <c r="AN41" i="8"/>
  <c r="AN32" i="8"/>
  <c r="AO29" i="8"/>
  <c r="AP29" i="8"/>
  <c r="Y9" i="8"/>
  <c r="X22" i="8"/>
  <c r="X45" i="8"/>
  <c r="D43" i="3"/>
  <c r="D49" i="3"/>
  <c r="D55" i="3"/>
  <c r="D41" i="3"/>
  <c r="AM32" i="8"/>
  <c r="AL42" i="8"/>
  <c r="J10" i="17"/>
  <c r="K10" i="17"/>
  <c r="M10" i="17"/>
  <c r="F10" i="17"/>
  <c r="AN48" i="8"/>
  <c r="R38" i="8"/>
  <c r="AP20" i="8"/>
  <c r="AQ20" i="8"/>
  <c r="AM24" i="8"/>
  <c r="AN24" i="8"/>
  <c r="X26" i="8"/>
  <c r="Y22" i="8"/>
  <c r="AO32" i="8"/>
  <c r="AN42" i="8"/>
  <c r="AA9" i="8"/>
  <c r="Z22" i="8"/>
  <c r="Z45" i="8"/>
  <c r="N15" i="10"/>
  <c r="N16" i="10"/>
  <c r="AC5" i="8"/>
  <c r="AD5" i="8"/>
  <c r="AB9" i="8"/>
  <c r="W26" i="8"/>
  <c r="V35" i="8"/>
  <c r="V36" i="8"/>
  <c r="D57" i="3"/>
  <c r="C57" i="3"/>
  <c r="D63" i="3"/>
  <c r="D65" i="3"/>
  <c r="D67" i="3"/>
  <c r="C67" i="3"/>
  <c r="AP32" i="8"/>
  <c r="AP41" i="8"/>
  <c r="AQ29" i="8"/>
  <c r="AE6" i="8"/>
  <c r="AF6" i="8"/>
  <c r="C41" i="3"/>
  <c r="D45" i="3"/>
  <c r="T37" i="8"/>
  <c r="E12" i="17"/>
  <c r="U35" i="8"/>
  <c r="F11" i="17"/>
  <c r="J11" i="17"/>
  <c r="K11" i="17"/>
  <c r="M11" i="17"/>
  <c r="AP48" i="8"/>
  <c r="AP24" i="8"/>
  <c r="AQ24" i="8"/>
  <c r="AO24" i="8"/>
  <c r="C45" i="3"/>
  <c r="D51" i="3"/>
  <c r="C51" i="3"/>
  <c r="AE5" i="8"/>
  <c r="AD9" i="8"/>
  <c r="AF5" i="8"/>
  <c r="J12" i="17"/>
  <c r="K12" i="17"/>
  <c r="M12" i="17"/>
  <c r="F12" i="17"/>
  <c r="AB45" i="8"/>
  <c r="AC9" i="8"/>
  <c r="AB22" i="8"/>
  <c r="N18" i="10"/>
  <c r="O12" i="10"/>
  <c r="N17" i="10"/>
  <c r="AG6" i="8"/>
  <c r="AH6" i="8"/>
  <c r="AP42" i="8"/>
  <c r="AQ32" i="8"/>
  <c r="Y26" i="8"/>
  <c r="X35" i="8"/>
  <c r="V37" i="8"/>
  <c r="E13" i="17"/>
  <c r="W35" i="8"/>
  <c r="AA22" i="8"/>
  <c r="Z26" i="8"/>
  <c r="G12" i="17"/>
  <c r="C13" i="17"/>
  <c r="T38" i="8"/>
  <c r="X36" i="8"/>
  <c r="V38" i="8"/>
  <c r="G13" i="17"/>
  <c r="C14" i="17"/>
  <c r="AG5" i="8"/>
  <c r="AF9" i="8"/>
  <c r="AH5" i="8"/>
  <c r="AC22" i="8"/>
  <c r="AB26" i="8"/>
  <c r="X37" i="8"/>
  <c r="E14" i="17"/>
  <c r="Y35" i="8"/>
  <c r="AJ6" i="8"/>
  <c r="AI6" i="8"/>
  <c r="Z35" i="8"/>
  <c r="AA26" i="8"/>
  <c r="J13" i="17"/>
  <c r="K13" i="17"/>
  <c r="M13" i="17"/>
  <c r="F13" i="17"/>
  <c r="O15" i="10"/>
  <c r="O16" i="10"/>
  <c r="AE9" i="8"/>
  <c r="AD45" i="8"/>
  <c r="AD22" i="8"/>
  <c r="Z36" i="8"/>
  <c r="X38" i="8"/>
  <c r="O18" i="10"/>
  <c r="P12" i="10"/>
  <c r="O17" i="10"/>
  <c r="AK6" i="8"/>
  <c r="AL6" i="8"/>
  <c r="AC26" i="8"/>
  <c r="AB35" i="8"/>
  <c r="AB36" i="8"/>
  <c r="AF45" i="8"/>
  <c r="AF22" i="8"/>
  <c r="AG9" i="8"/>
  <c r="AD26" i="8"/>
  <c r="AE22" i="8"/>
  <c r="AA35" i="8"/>
  <c r="Z37" i="8"/>
  <c r="E15" i="17"/>
  <c r="J14" i="17"/>
  <c r="K14" i="17"/>
  <c r="M14" i="17"/>
  <c r="F14" i="17"/>
  <c r="AI5" i="8"/>
  <c r="AJ5" i="8"/>
  <c r="AH9" i="8"/>
  <c r="G14" i="17"/>
  <c r="C15" i="17"/>
  <c r="Z38" i="8"/>
  <c r="G15" i="17"/>
  <c r="C16" i="17"/>
  <c r="AG22" i="8"/>
  <c r="AF26" i="8"/>
  <c r="AM6" i="8"/>
  <c r="AN6" i="8"/>
  <c r="P15" i="10"/>
  <c r="P16" i="10"/>
  <c r="AJ9" i="8"/>
  <c r="AK5" i="8"/>
  <c r="AL5" i="8"/>
  <c r="J15" i="17"/>
  <c r="K15" i="17"/>
  <c r="M15" i="17"/>
  <c r="F15" i="17"/>
  <c r="AE26" i="8"/>
  <c r="AD35" i="8"/>
  <c r="AB37" i="8"/>
  <c r="E16" i="17"/>
  <c r="AC35" i="8"/>
  <c r="AH22" i="8"/>
  <c r="AH45" i="8"/>
  <c r="AI9" i="8"/>
  <c r="G16" i="17"/>
  <c r="C17" i="17"/>
  <c r="AI22" i="8"/>
  <c r="AH26" i="8"/>
  <c r="AD37" i="8"/>
  <c r="E17" i="17"/>
  <c r="AE35" i="8"/>
  <c r="AN5" i="8"/>
  <c r="AM5" i="8"/>
  <c r="AL9" i="8"/>
  <c r="P17" i="10"/>
  <c r="P18" i="10"/>
  <c r="Q12" i="10"/>
  <c r="J16" i="17"/>
  <c r="K16" i="17"/>
  <c r="M16" i="17"/>
  <c r="F16" i="17"/>
  <c r="AF35" i="8"/>
  <c r="AG26" i="8"/>
  <c r="AK9" i="8"/>
  <c r="AJ22" i="8"/>
  <c r="AJ45" i="8"/>
  <c r="AP6" i="8"/>
  <c r="AQ6" i="8"/>
  <c r="AO6" i="8"/>
  <c r="G17" i="17"/>
  <c r="C18" i="17"/>
  <c r="AB38" i="8"/>
  <c r="AD36" i="8"/>
  <c r="AD38" i="8"/>
  <c r="AK22" i="8"/>
  <c r="AJ26" i="8"/>
  <c r="AF37" i="8"/>
  <c r="E18" i="17"/>
  <c r="G18" i="17"/>
  <c r="C19" i="17"/>
  <c r="AG35" i="8"/>
  <c r="AO5" i="8"/>
  <c r="AN9" i="8"/>
  <c r="AP5" i="8"/>
  <c r="AI26" i="8"/>
  <c r="AH35" i="8"/>
  <c r="Q15" i="10"/>
  <c r="Q16" i="10"/>
  <c r="AM9" i="8"/>
  <c r="AL45" i="8"/>
  <c r="AL22" i="8"/>
  <c r="J17" i="17"/>
  <c r="K17" i="17"/>
  <c r="M17" i="17"/>
  <c r="F17" i="17"/>
  <c r="AF36" i="8"/>
  <c r="Q17" i="10"/>
  <c r="R12" i="10"/>
  <c r="Q18" i="10"/>
  <c r="AH37" i="8"/>
  <c r="E19" i="17"/>
  <c r="AI35" i="8"/>
  <c r="AK26" i="8"/>
  <c r="AJ35" i="8"/>
  <c r="AL26" i="8"/>
  <c r="AM22" i="8"/>
  <c r="AO9" i="8"/>
  <c r="AN22" i="8"/>
  <c r="AN45" i="8"/>
  <c r="J18" i="17"/>
  <c r="K18" i="17"/>
  <c r="M18" i="17"/>
  <c r="F18" i="17"/>
  <c r="AQ5" i="8"/>
  <c r="AP9" i="8"/>
  <c r="G19" i="17"/>
  <c r="C20" i="17"/>
  <c r="AH36" i="8"/>
  <c r="AJ36" i="8"/>
  <c r="AF38" i="8"/>
  <c r="AH38" i="8"/>
  <c r="AQ9" i="8"/>
  <c r="AP45" i="8"/>
  <c r="AP22" i="8"/>
  <c r="AM26" i="8"/>
  <c r="AL35" i="8"/>
  <c r="R15" i="10"/>
  <c r="R16" i="10"/>
  <c r="AO22" i="8"/>
  <c r="AN26" i="8"/>
  <c r="AJ37" i="8"/>
  <c r="E20" i="17"/>
  <c r="AK35" i="8"/>
  <c r="J19" i="17"/>
  <c r="K19" i="17"/>
  <c r="M19" i="17"/>
  <c r="F19" i="17"/>
  <c r="R18" i="10"/>
  <c r="S12" i="10"/>
  <c r="R17" i="10"/>
  <c r="AN35" i="8"/>
  <c r="AO26" i="8"/>
  <c r="AL37" i="8"/>
  <c r="E21" i="17"/>
  <c r="AM35" i="8"/>
  <c r="J20" i="17"/>
  <c r="K20" i="17"/>
  <c r="M20" i="17"/>
  <c r="F20" i="17"/>
  <c r="AP26" i="8"/>
  <c r="AQ22" i="8"/>
  <c r="G20" i="17"/>
  <c r="C21" i="17"/>
  <c r="G21" i="17"/>
  <c r="C22" i="17"/>
  <c r="AJ38" i="8"/>
  <c r="AL36" i="8"/>
  <c r="AN36" i="8"/>
  <c r="J21" i="17"/>
  <c r="K21" i="17"/>
  <c r="M21" i="17"/>
  <c r="F21" i="17"/>
  <c r="S15" i="10"/>
  <c r="S16" i="10"/>
  <c r="AP35" i="8"/>
  <c r="AQ26" i="8"/>
  <c r="T16" i="17"/>
  <c r="T17" i="17"/>
  <c r="AO35" i="8"/>
  <c r="AN37" i="8"/>
  <c r="E22" i="17"/>
  <c r="AL38" i="8"/>
  <c r="S18" i="10"/>
  <c r="T12" i="10"/>
  <c r="S17" i="10"/>
  <c r="J22" i="17"/>
  <c r="K22" i="17"/>
  <c r="M22" i="17"/>
  <c r="F22" i="17"/>
  <c r="AQ35" i="8"/>
  <c r="AP37" i="8"/>
  <c r="AP38" i="8"/>
  <c r="T18" i="17"/>
  <c r="T19" i="17"/>
  <c r="T21" i="17"/>
  <c r="H6" i="1"/>
  <c r="AN38" i="8"/>
  <c r="G22" i="17"/>
  <c r="C23" i="17"/>
  <c r="AP36" i="8"/>
  <c r="AB109" i="11"/>
  <c r="I1" i="28"/>
  <c r="J58" i="21"/>
  <c r="J1" i="21"/>
  <c r="I1" i="29"/>
  <c r="J1" i="2"/>
  <c r="S109" i="11"/>
  <c r="Z1" i="10"/>
  <c r="Z1" i="8"/>
  <c r="I1" i="48"/>
  <c r="C1" i="3"/>
  <c r="F183" i="9"/>
  <c r="J1" i="22"/>
  <c r="K1" i="36"/>
  <c r="E1" i="14"/>
  <c r="AP1" i="8"/>
  <c r="F1" i="9"/>
  <c r="J116" i="21"/>
  <c r="L59" i="4"/>
  <c r="G1" i="26"/>
  <c r="I1" i="33"/>
  <c r="J1" i="34"/>
  <c r="G99" i="7"/>
  <c r="J170" i="21"/>
  <c r="K119" i="24"/>
  <c r="M1" i="17"/>
  <c r="G1" i="31"/>
  <c r="I1" i="40"/>
  <c r="E1" i="13"/>
  <c r="J1" i="27"/>
  <c r="D150" i="9"/>
  <c r="J109" i="11"/>
  <c r="F109" i="9"/>
  <c r="I1" i="12"/>
  <c r="D1" i="8"/>
  <c r="N1" i="15"/>
  <c r="S1" i="11"/>
  <c r="I1" i="30"/>
  <c r="K1" i="24"/>
  <c r="J1" i="11"/>
  <c r="J1" i="4"/>
  <c r="T73" i="3"/>
  <c r="G1" i="7"/>
  <c r="AB1" i="11"/>
  <c r="G52" i="7"/>
  <c r="Q1" i="8"/>
  <c r="L1" i="32"/>
  <c r="H1" i="18"/>
  <c r="J1" i="37"/>
  <c r="T15" i="10"/>
  <c r="T16" i="10"/>
  <c r="AT37" i="8"/>
  <c r="E23" i="17"/>
  <c r="J23" i="17"/>
  <c r="K23" i="17"/>
  <c r="M23" i="17"/>
  <c r="F23" i="17"/>
  <c r="E24" i="17"/>
  <c r="T17" i="10"/>
  <c r="T18" i="10"/>
  <c r="U12" i="10"/>
  <c r="G23" i="17"/>
  <c r="C24" i="17"/>
  <c r="G24" i="17"/>
  <c r="C25" i="17"/>
  <c r="U15" i="10"/>
  <c r="U16" i="10"/>
  <c r="J24" i="17"/>
  <c r="K24" i="17"/>
  <c r="M24" i="17"/>
  <c r="E25" i="17"/>
  <c r="F24" i="17"/>
  <c r="G25" i="17"/>
  <c r="C26" i="17"/>
  <c r="U17" i="10"/>
  <c r="U18" i="10"/>
  <c r="V12" i="10"/>
  <c r="F25" i="17"/>
  <c r="J25" i="17"/>
  <c r="K25" i="17"/>
  <c r="M25" i="17"/>
  <c r="E26" i="17"/>
  <c r="G26" i="17"/>
  <c r="C27" i="17"/>
  <c r="V15" i="10"/>
  <c r="V16" i="10"/>
  <c r="J26" i="17"/>
  <c r="K26" i="17"/>
  <c r="M26" i="17"/>
  <c r="F26" i="17"/>
  <c r="E27" i="17"/>
  <c r="G27" i="17"/>
  <c r="C28" i="17"/>
  <c r="J27" i="17"/>
  <c r="K27" i="17"/>
  <c r="M27" i="17"/>
  <c r="E28" i="17"/>
  <c r="F27" i="17"/>
  <c r="V18" i="10"/>
  <c r="W12" i="10"/>
  <c r="V17" i="10"/>
  <c r="W15" i="10"/>
  <c r="W16" i="10"/>
  <c r="J28" i="17"/>
  <c r="K28" i="17"/>
  <c r="M28" i="17"/>
  <c r="E29" i="17"/>
  <c r="F28" i="17"/>
  <c r="G28" i="17"/>
  <c r="C29" i="17"/>
  <c r="G29" i="17"/>
  <c r="C30" i="17"/>
  <c r="W18" i="10"/>
  <c r="Y12" i="10"/>
  <c r="W17" i="10"/>
  <c r="J29" i="17"/>
  <c r="K29" i="17"/>
  <c r="M29" i="17"/>
  <c r="F29" i="17"/>
  <c r="E30" i="17"/>
  <c r="E31" i="17"/>
  <c r="J30" i="17"/>
  <c r="K30" i="17"/>
  <c r="M30" i="17"/>
  <c r="F30" i="17"/>
  <c r="G30" i="17"/>
  <c r="C31" i="17"/>
  <c r="Y15" i="10"/>
  <c r="Z15" i="10"/>
  <c r="Y16" i="10"/>
  <c r="L21" i="22"/>
  <c r="K21" i="22"/>
  <c r="D19" i="10"/>
  <c r="Y17" i="10"/>
  <c r="Y18" i="10"/>
  <c r="Z18" i="10"/>
  <c r="B18" i="10"/>
  <c r="J31" i="17"/>
  <c r="K31" i="17"/>
  <c r="M31" i="17"/>
  <c r="F31" i="17"/>
  <c r="E32" i="17"/>
  <c r="G31" i="17"/>
  <c r="C32" i="17"/>
  <c r="G32" i="17"/>
  <c r="C33" i="17"/>
  <c r="J32" i="17"/>
  <c r="K32" i="17"/>
  <c r="M32" i="17"/>
  <c r="E33" i="17"/>
  <c r="F32" i="17"/>
  <c r="J33" i="17"/>
  <c r="K33" i="17"/>
  <c r="M33" i="17"/>
  <c r="E34" i="17"/>
  <c r="F33" i="17"/>
  <c r="G33" i="17"/>
  <c r="C34" i="17"/>
  <c r="G34" i="17"/>
  <c r="C35" i="17"/>
  <c r="J34" i="17"/>
  <c r="K34" i="17"/>
  <c r="M34" i="17"/>
  <c r="F34" i="17"/>
  <c r="E35" i="17"/>
  <c r="G35" i="17"/>
  <c r="C36" i="17"/>
  <c r="J35" i="17"/>
  <c r="K35" i="17"/>
  <c r="M35" i="17"/>
  <c r="F35" i="17"/>
  <c r="E36" i="17"/>
  <c r="G36" i="17"/>
  <c r="C37" i="17"/>
  <c r="J36" i="17"/>
  <c r="K36" i="17"/>
  <c r="M36" i="17"/>
  <c r="E37" i="17"/>
  <c r="G37" i="17"/>
  <c r="C38" i="17"/>
  <c r="F36" i="17"/>
  <c r="J37" i="17"/>
  <c r="K37" i="17"/>
  <c r="M37" i="17"/>
  <c r="F37" i="17"/>
  <c r="E38" i="17"/>
  <c r="G38" i="17"/>
  <c r="C39" i="17"/>
  <c r="J38" i="17"/>
  <c r="K38" i="17"/>
  <c r="M38" i="17"/>
  <c r="F38" i="17"/>
  <c r="E39" i="17"/>
  <c r="J39" i="17"/>
  <c r="K39" i="17"/>
  <c r="M39" i="17"/>
  <c r="E40" i="17"/>
  <c r="F39" i="17"/>
  <c r="G39" i="17"/>
  <c r="C40" i="17"/>
  <c r="G40" i="17"/>
  <c r="C41" i="17"/>
  <c r="J40" i="17"/>
  <c r="K40" i="17"/>
  <c r="M40" i="17"/>
  <c r="E41" i="17"/>
  <c r="G41" i="17"/>
  <c r="C42" i="17"/>
  <c r="F40" i="17"/>
  <c r="F41" i="17"/>
  <c r="E42" i="17"/>
  <c r="G42" i="17"/>
  <c r="C43" i="17"/>
  <c r="J41" i="17"/>
  <c r="K41" i="17"/>
  <c r="M41" i="17"/>
  <c r="E43" i="17"/>
  <c r="J42" i="17"/>
  <c r="K42" i="17"/>
  <c r="M42" i="17"/>
  <c r="F42" i="17"/>
  <c r="J43" i="17"/>
  <c r="K43" i="17"/>
  <c r="M43" i="17"/>
  <c r="F43" i="17"/>
  <c r="G43" i="17"/>
  <c r="L49"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nathan</author>
    <author>Jon Ruona</author>
  </authors>
  <commentList>
    <comment ref="B11" authorId="0" shapeId="0" xr:uid="{00000000-0006-0000-0100-000001000000}">
      <text>
        <r>
          <rPr>
            <b/>
            <sz val="8"/>
            <color indexed="81"/>
            <rFont val="Tahoma"/>
            <family val="2"/>
          </rPr>
          <t xml:space="preserve">Specify name of entity that will own and operate property.
</t>
        </r>
      </text>
    </comment>
    <comment ref="J26" authorId="1" shapeId="0" xr:uid="{00000000-0006-0000-0100-000002000000}">
      <text>
        <r>
          <rPr>
            <b/>
            <sz val="10"/>
            <color indexed="81"/>
            <rFont val="Times New Roman"/>
            <family val="1"/>
          </rPr>
          <t>Used for LTV Comparison on the Debt Service and Loan Sizing Worksheet.</t>
        </r>
        <r>
          <rPr>
            <sz val="8"/>
            <color indexed="81"/>
            <rFont val="Tahoma"/>
            <family val="2"/>
          </rPr>
          <t xml:space="preserve">
</t>
        </r>
      </text>
    </comment>
    <comment ref="J27" authorId="1" shapeId="0" xr:uid="{00000000-0006-0000-0100-000003000000}">
      <text>
        <r>
          <rPr>
            <b/>
            <sz val="10"/>
            <color indexed="81"/>
            <rFont val="Times New Roman"/>
            <family val="1"/>
          </rPr>
          <t>Used for LTV Comparison on the Debt Service and Loan Sizing Worksheet.</t>
        </r>
        <r>
          <rPr>
            <sz val="8"/>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NJP</author>
    <author>ncarter</author>
  </authors>
  <commentList>
    <comment ref="C51" authorId="0" shapeId="0" xr:uid="{00000000-0006-0000-1300-000001000000}">
      <text>
        <r>
          <rPr>
            <b/>
            <sz val="9"/>
            <color indexed="81"/>
            <rFont val="Tahoma"/>
            <family val="2"/>
          </rPr>
          <t>* Owner must agree to sell units at minimum purchase price by not later than the 16th year of Compliance period.  The award is subject to a transactional structure acceptable to the agency according to industry best practices that protects the expectations of tenants anticipating title transfer of their units in fee simple absolute or condo or cooperative ownership.</t>
        </r>
      </text>
    </comment>
    <comment ref="O189" authorId="1" shapeId="0" xr:uid="{00000000-0006-0000-1300-000002000000}">
      <text>
        <r>
          <rPr>
            <b/>
            <sz val="9"/>
            <color indexed="81"/>
            <rFont val="Tahoma"/>
            <family val="2"/>
          </rPr>
          <t>ncarter:</t>
        </r>
        <r>
          <rPr>
            <sz val="9"/>
            <color indexed="81"/>
            <rFont val="Tahoma"/>
            <family val="2"/>
          </rPr>
          <t xml:space="preserve">
Put score here</t>
        </r>
      </text>
    </comment>
    <comment ref="Q189" authorId="1" shapeId="0" xr:uid="{00000000-0006-0000-1300-000003000000}">
      <text>
        <r>
          <rPr>
            <b/>
            <sz val="9"/>
            <color indexed="81"/>
            <rFont val="Tahoma"/>
            <family val="2"/>
          </rPr>
          <t>ncarter:</t>
        </r>
        <r>
          <rPr>
            <sz val="9"/>
            <color indexed="81"/>
            <rFont val="Tahoma"/>
            <family val="2"/>
          </rPr>
          <t xml:space="preserve">
Put score here</t>
        </r>
      </text>
    </comment>
    <comment ref="O202" authorId="1" shapeId="0" xr:uid="{00000000-0006-0000-1300-000004000000}">
      <text>
        <r>
          <rPr>
            <b/>
            <sz val="9"/>
            <color indexed="81"/>
            <rFont val="Tahoma"/>
            <family val="2"/>
          </rPr>
          <t>ncarter:</t>
        </r>
        <r>
          <rPr>
            <sz val="9"/>
            <color indexed="81"/>
            <rFont val="Tahoma"/>
            <family val="2"/>
          </rPr>
          <t xml:space="preserve">
Put score here</t>
        </r>
      </text>
    </comment>
    <comment ref="Q202" authorId="1" shapeId="0" xr:uid="{00000000-0006-0000-1300-000005000000}">
      <text>
        <r>
          <rPr>
            <b/>
            <sz val="9"/>
            <color indexed="81"/>
            <rFont val="Tahoma"/>
            <family val="2"/>
          </rPr>
          <t>ncarter:</t>
        </r>
        <r>
          <rPr>
            <sz val="9"/>
            <color indexed="81"/>
            <rFont val="Tahoma"/>
            <family val="2"/>
          </rPr>
          <t xml:space="preserve">
Put score here</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MATT</author>
  </authors>
  <commentList>
    <comment ref="E51" authorId="0" shapeId="0" xr:uid="{00000000-0006-0000-1900-000001000000}">
      <text>
        <r>
          <rPr>
            <b/>
            <sz val="8"/>
            <color indexed="81"/>
            <rFont val="Tahoma"/>
            <family val="2"/>
          </rPr>
          <t>Distressed Property:  Any federally-assisted building for which a waiver of the ten year period described in Section 42(d)(2)(B)(ii) is obtained or a building which qualifies for such a waiver but for the building having been last placed in service more than ten years prior to the Application deadline or any project financed by RD and placed in service 15 years or earlier from the Application Deadline which project requires rehab (exclusive of soft and intermediary costs) of $5,000 or more per unit.</t>
        </r>
        <r>
          <rPr>
            <sz val="8"/>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 xml:space="preserve"> Nathan Parkin</author>
  </authors>
  <commentList>
    <comment ref="B3" authorId="0" shapeId="0" xr:uid="{00000000-0006-0000-2500-000001000000}">
      <text>
        <r>
          <rPr>
            <b/>
            <sz val="8"/>
            <color indexed="81"/>
            <rFont val="Tahoma"/>
            <family val="2"/>
          </rPr>
          <t xml:space="preserve"> Nathan Parkin:</t>
        </r>
        <r>
          <rPr>
            <sz val="8"/>
            <color indexed="81"/>
            <rFont val="Tahoma"/>
            <family val="2"/>
          </rPr>
          <t xml:space="preserve">
FMR needs to be updated</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 xml:space="preserve"> Nathan Parkin</author>
  </authors>
  <commentList>
    <comment ref="B3" authorId="0" shapeId="0" xr:uid="{00000000-0006-0000-2600-000001000000}">
      <text>
        <r>
          <rPr>
            <b/>
            <sz val="8"/>
            <color indexed="81"/>
            <rFont val="Tahoma"/>
            <family val="2"/>
          </rPr>
          <t xml:space="preserve"> Nathan Parkin:</t>
        </r>
        <r>
          <rPr>
            <sz val="8"/>
            <color indexed="81"/>
            <rFont val="Tahoma"/>
            <family val="2"/>
          </rPr>
          <t xml:space="preserve">
FMR needs to be updated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nathan</author>
    <author>Nathan Parkin</author>
  </authors>
  <commentList>
    <comment ref="B4" authorId="0" shapeId="0" xr:uid="{00000000-0006-0000-0200-000001000000}">
      <text>
        <r>
          <rPr>
            <b/>
            <sz val="8"/>
            <color indexed="81"/>
            <rFont val="Tahoma"/>
            <family val="2"/>
          </rPr>
          <t>If not properly zoned, property MUST be properly zoned at least thirty (30) days prior to Credit Allocation.</t>
        </r>
      </text>
    </comment>
    <comment ref="D17" authorId="0" shapeId="0" xr:uid="{00000000-0006-0000-0200-000002000000}">
      <text>
        <r>
          <rPr>
            <b/>
            <sz val="8"/>
            <color indexed="81"/>
            <rFont val="Tahoma"/>
            <family val="2"/>
          </rPr>
          <t>Must conform to QAP requirements</t>
        </r>
      </text>
    </comment>
    <comment ref="B26" authorId="1" shapeId="0" xr:uid="{00000000-0006-0000-0200-000003000000}">
      <text>
        <r>
          <rPr>
            <b/>
            <sz val="9"/>
            <color indexed="81"/>
            <rFont val="Tahoma"/>
            <family val="2"/>
          </rPr>
          <t xml:space="preserve">Local Community Notification: The Applicant must include in the Application evidence that a Public Notice was published in a local newspaper having general
16 circulation in the city of the proposed development area 7-8 days prior to the Application deadline. This notice must run for three (3) consecutive days and must include:
• The name of the project owner
• The project name
• The project address or location
• The maximum number of units
• The nature of the project (i.e. new construction or rehabilitation, elderly or family, etc and construction type and occupancy type along with proposed community facility and supportive services
• State the project is competing for 9% Tax Credits provided by Louisiana Housing Finance Agency.
• Total development cost including funding sources and amounts
Applicant must provide proof that he has submitted correspondence to the Mayor and appropriate City Council where the project is proposed notifying them of the project and including above referenced notice information.
</t>
        </r>
      </text>
    </comment>
    <comment ref="B28" authorId="1" shapeId="0" xr:uid="{00000000-0006-0000-0200-000004000000}">
      <text>
        <r>
          <rPr>
            <b/>
            <sz val="9"/>
            <color indexed="81"/>
            <rFont val="Tahoma"/>
            <family val="2"/>
          </rPr>
          <t>If yes, then asset may be eligible to use the greater of area median gross income or national non-metropolitan median income as allowed under the Housing Act of 2008</t>
        </r>
      </text>
    </comment>
    <comment ref="B30" authorId="0" shapeId="0" xr:uid="{00000000-0006-0000-0200-000005000000}">
      <text>
        <r>
          <rPr>
            <b/>
            <sz val="8"/>
            <color indexed="81"/>
            <rFont val="Tahoma"/>
            <family val="2"/>
          </rPr>
          <t>IOI = Identity of Interest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Nathan Parkin</author>
    <author>Nathan</author>
  </authors>
  <commentList>
    <comment ref="B13" authorId="0" shapeId="0" xr:uid="{00000000-0006-0000-0300-000001000000}">
      <text>
        <r>
          <rPr>
            <b/>
            <sz val="9"/>
            <color indexed="81"/>
            <rFont val="Tahoma"/>
            <family val="2"/>
          </rPr>
          <t>(i) Utilities: Evidence of electrical, water and sewer lines to the property site, or
if such facilities are not currently available, how such facilities will be available to
the site.
(ii) Transportation: Evidence that reasonable transportation services are
currently proximate to the site, or if such transportation services are not, a
narrative statement of how tenants will access commercial, educational,
recreational and other services upon completion of project:
(iii) Educational Facilities: Evidence that (a) primary educational facilities are
reasonably available to school-age children of tenants if the project is for family
units or, if such facilities are not, a narrative statement of how school-age
children will access public educational facilities and (b) the local public school
system has been notified about the estimated prospective population count of
school age children in the project when the project is placed in service.</t>
        </r>
      </text>
    </comment>
    <comment ref="B19" authorId="0" shapeId="0" xr:uid="{00000000-0006-0000-0300-000002000000}">
      <text>
        <r>
          <rPr>
            <b/>
            <sz val="9"/>
            <color indexed="81"/>
            <rFont val="Tahoma"/>
            <family val="2"/>
          </rPr>
          <t>The following networks (combined or distinct)
must be capable of being accessed and activated by tenants: (i) telephone
network installed for phones using CAT5e or better wiring, (ii) network for data
installed using CAT5e or better, networked from the unit back to a central
location or similar configured wireless network and (iii) TV services network
using COAX cable. The wiring for such networks should be available to tenants
free of charge but tenants may be charged a fee by the Taxpayer for activating
and making available any services provided directly by the Project or through
third party providers. The equivalent of wireless network access is acceptable.</t>
        </r>
      </text>
    </comment>
    <comment ref="B21" authorId="0" shapeId="0" xr:uid="{00000000-0006-0000-0300-000003000000}">
      <text>
        <r>
          <rPr>
            <b/>
            <sz val="9"/>
            <color indexed="81"/>
            <rFont val="Tahoma"/>
            <family val="2"/>
          </rPr>
          <t xml:space="preserve">All of the energy efficiency components must be clearly and individually listed in an original stamped letter from either the architect or engineer of record. The letter must state that the entire construction envelope meets or exceeds the 2009 International Energy Conservation Code. Manufacturer’s cut sheets must be submitted to document the energy efficiency of each component for which points are claimed.
Rural Development Rehabs will be allowed a waiver of the minimum threshold requirements on rehabilitation projects only if RD submits a letter with the application authorizing the specific waiver(s) and concurring with the submitted request.
Rehabilitation Projects are not required to adhere to the minimum Energy Efficiency requirements unless:
(i) The Capital Needs Assessment requires replacement of the item or 
(ii) The applicant chooses to replace an item or 
(iii)The Corporation’s designated architect, in consultation with the Corporation’s contracted underwriter, determines that an early replacement of an item with a more energy efficient system substantially improves the quality of life for residents with substantial benefits attributable to reduce deposits to reserves for replacement and/or reductions in operating expenses.
</t>
        </r>
      </text>
    </comment>
    <comment ref="B33" authorId="0" shapeId="0" xr:uid="{00000000-0006-0000-0300-000004000000}">
      <text>
        <r>
          <rPr>
            <b/>
            <sz val="9"/>
            <color indexed="81"/>
            <rFont val="Tahoma"/>
            <family val="2"/>
          </rPr>
          <t>Such Managing General Partner or Sponsor must:
1. be identified in the application
2. become a general partner or managing member of the ownership entity, and
3. remain responsible for overseeing the project and operation of the project for a period of two
(2) years after placed in service.
All owners and principles must disclose all previous participation in the low income housing tax
credit program. Additionally, owners and principles that have participated in an out of state tax
credit allocation may be required to complete an Authorization for Release of Information form.
No developer or taxpayer utilizing a debarred participant in the development or operation of a
project may be reserved or allocated tax credits.</t>
        </r>
      </text>
    </comment>
    <comment ref="B35" authorId="0" shapeId="0" xr:uid="{00000000-0006-0000-0300-000005000000}">
      <text>
        <r>
          <rPr>
            <b/>
            <sz val="9"/>
            <color indexed="81"/>
            <rFont val="Tahoma"/>
            <family val="2"/>
          </rPr>
          <t>The property management company must have at least:
a. One similar (size and type) tax credit project in their current or past portfolio,
and
b. One staff person serving in a supervisory capacity with regard to the project
who has been certified as a tax credit compliance specialist.
Such certification must be from an organization approved by the Agency. None
of the persons or entities serving as management company may have in their
portfolio a project with material or uncorrected non-compliance beyond the cure
period. The management company listed on the application must be retained by
the ownership entity for at least two (2) years after project completion, unless
Taxpayer releases such the agent for nonperformance of duties.
The development must be managed by an On-Site Manager that has received
LIHTC Compliance Certification dated no more than 12 months prior to the
Application deadline from a program deemed acceptable to the Agency in
accordance with industry recognized training standards.</t>
        </r>
      </text>
    </comment>
    <comment ref="B37" authorId="1" shapeId="0" xr:uid="{00000000-0006-0000-0300-000006000000}">
      <text>
        <r>
          <rPr>
            <sz val="9"/>
            <color indexed="81"/>
            <rFont val="Tahoma"/>
            <family val="2"/>
          </rPr>
          <t xml:space="preserve">
The Agency shall disqualify any taxpayer, its representative or agent, managing
general partner, sponsor or management company, who is not in good standing
with the Agency, as defined herein. One who is “not in good standing” will be
considered ineligible to receive a reservation/allocation of credits during this
Funding Round. One is considered to be “not in good standing” with the Agency
if one has met one or more of the following criteria:
a. has been debarred or received a limited denial of participation in the past ten
years by any federal or state agency from participating in any development
program;
Page 17 of 72
2011/2012 FINAL as of June 10, 2011
b. within the past ten years has been in a bankruptcy, an adverse fair housing
settlement, an adverse civil rights settlement, or an adverse federal or state
government proceeding and settlement;
c. has been involved within the past ten years in a project which previously
received an allocation of tax credits but failed to meet standards or
requirements of the tax credit allocation or failed to fulfill one of the
representations contained in an application for tax credits without the express
approval of the LHFA;
d. has been found to be directly or indirectly responsible for any other project
within the past five years in which there is or was uncorrected noncompliance
more than three months from the date of notification by the Agency or any
other state allocating agency unless the LHFA determines in its discretion
that the uncorrected non-compliance was not the fault of the person in
question;
e. interferes with a tax credit application for which it is not an owner or Principal
at a public hearing or other official meeting;
f. has outstanding flags in HUD’s national 2530 National Participation system;
g. has been or is currently involved in any project awarded tax credits in 2007
or earlier for which either the permanent financing or equity investment has
not closed;
h. has been or is currently involved in any project awarded Non-GO Zone Tax
Credits in 2008 or earlier for which the final cost certification requirements
have not been met by December 30, 2010;
i. has been or is currently involved in any project awarded tax credits after
2000 where there has been a change in general partners or managing
members during the last five years that the Agency did not approve in writing
beforehand;
j. are delinquent or in default on any agency obligation (including but not
limited to HOME repayment) as September 14, 2011 will be considered
ineligible to receive a reservation/allocation of credits during this Funding
Round;
k. has an outstanding audit report requirement or unresolved audit deficiencies
as of September 14, 2011 will be considered ineligible to receive a
reservation/allocation of credits during this Funding Round;
l. has unresolved outstanding 8823’s or other outstanding Compliance
Violations as of September 14, 2011 will be considered ineligible to receive a
reservation/allocation of credits during this Funding Round; or
Page 18 of 72
2011/2012 FINAL as of June 10, 2011
m. are currently out of compliance with TCAP closings or 1602 Closings or
project schedules on current projects at the agency.
A disqualification under this subsection (F)(3) will result in the individual or entity
involved not being allowed to receive an award of LIHTC in the 2011/2012 cycle
and removing from consideration any application where they are identified.
Agency staff will provide each taxpayer notice by no later than June 15, 2011, via
certified mail and electronic correspondence that the taxpayer is subject to
disqualification based upon specific non compliance. The taxpayer, agent or
representative, managing general partner, sponsor or management company
must respond in writing, for receipt by the agency via certified mail by no later
than July 15, 2011 to Marjorianna Willman, Tax Credit Manager, specifying
reasons that they object to the findings of the agency. Staff will review all
objections received and provide the results of their review to the applicant by no
later than August 30, 2011 so that the taxpayer, agent or representative,
managing general partner, sponsor or management company may prepare an
appeal, if he or she desires, to the Board of Commissioners at the regularly
scheduled September 14, 2011 meeting. The taxpayer, agent or representative,
managing general partner, sponsor or management company’s written appeal
and supporting documents should be submitted for the Board’s review no later
than 11:00 am CST on Wednesday, September 7, 2011.
Based upon staff’s review, a final recommendation to the Board of
Commissioners will be presented at its regularly scheduled September 14, 2011
meeting. The appeals will go before the Multi-family Committee for
recommendation to the Full Board, with each applicant having an opportunity to
be heard and for his or her written argument and supporting documents to be
considered. In addition, any applicant wishing to speak before the Board
regarding his or her disqualification status will be allowed an opportunity to
address the Board at the regularly scheduled September 14, 2011 meeting. The
decision of the full board regarding disqualification status will be final.
Prospective applicants are hereby notified that any expenses incurred in the
preparation of applications to be submitted during this round are incurred at their
own risk and are subject to forfeiture should the pending disqualification issues
not be cleared by agency staff by August 30, 2011.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nathan</author>
    <author>Nathan Parkin</author>
  </authors>
  <commentList>
    <comment ref="A35" authorId="0" shapeId="0" xr:uid="{00000000-0006-0000-0400-000001000000}">
      <text>
        <r>
          <rPr>
            <b/>
            <sz val="8"/>
            <color indexed="81"/>
            <rFont val="Tahoma"/>
            <family val="2"/>
          </rPr>
          <t xml:space="preserve">The Tax Credit Application diskette for GO Zone Credits neither adds nor subtracts the utility allowance from the actual rents inputted by the Taxpayer/Applicant.  Unlike prior electronic applications, the GO Zone Piggyback Application was designed to permit the Taxpayer/Applicant to input "Actual Rents" charged by bedroom size across multiple income classes based upon the agreement of the Taxpayer/Applicant to select set-asides for deep affordability as requested by the LRA/OCD.  
 In processing the electronic applications, Foley &amp; Judell will be using a processing module that verifies with respect to each application that the actual rents are within the tax credit rent requirements under Section 42 of the Code.  In other words, the Taxpayer Applicant must make sure that the actual rents inputted reflect the utility allowance reduction where such reductions are required under the Code.  Foley &amp; Judell will verify the same. </t>
        </r>
      </text>
    </comment>
    <comment ref="A47" authorId="0" shapeId="0" xr:uid="{00000000-0006-0000-0400-000002000000}">
      <text>
        <r>
          <rPr>
            <b/>
            <sz val="8"/>
            <color indexed="81"/>
            <rFont val="Tahoma"/>
            <family val="2"/>
          </rPr>
          <t xml:space="preserve">The Tax Credit Application diskette for GO Zone Credits neither adds nor subtracts the utility allowance from the actual rents inputted by the Taxpayer/Applicant.  Unlike prior electronic applications, the GO Zone Piggyback Application was designed to permit the Taxpayer/Applicant to input "Actual Rents" charged by bedroom size across multiple income classes based upon the agreement of the Taxpayer/Applicant to select set-asides for deep affordability as requested by the LRA/OCD.  
 In processing the electronic applications, Foley &amp; Judell will be using a processing module that verifies with respect to each application that the actual rents are within the tax credit rent requirements under Section 42 of the Code.  In other words, the Taxpayer Applicant must make sure that the actual rents inputted reflect the utility allowance reduction where such reductions are required under the Code.  Foley &amp; Judell will verify the same. </t>
        </r>
      </text>
    </comment>
    <comment ref="J73" authorId="1" shapeId="0" xr:uid="{00000000-0006-0000-0400-000003000000}">
      <text>
        <r>
          <rPr>
            <b/>
            <sz val="9"/>
            <color indexed="81"/>
            <rFont val="Tahoma"/>
            <family val="2"/>
          </rPr>
          <t xml:space="preserve">HERA SPECIAL HOLD HARMLESS
In accordance with the Housing and Economic Recovery Act (HERA) of 2009, HUD has published a "HERA special" income limit in accordance with Section 3009 of HERA for projects with income limits "determined" under HUD's hold harmless policy in 2007 or 2008. These projects are eligible to have their income and rent limits calculated starting with the greater of: 
1. "HERA special" income limit (2008 very low-income limit plus any increase in AMGI from 2008 to the current year), or 
2. HUD's very low-income limit.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Nathan Parkin</author>
  </authors>
  <commentList>
    <comment ref="B169" authorId="0" shapeId="0" xr:uid="{00000000-0006-0000-0500-000001000000}">
      <text>
        <r>
          <rPr>
            <b/>
            <sz val="9"/>
            <color indexed="81"/>
            <rFont val="Tahoma"/>
            <family val="2"/>
          </rPr>
          <t>5. Self-Owned Equipment Limitations: Costs deemed to lease self-owned equipment or to lease equipment owned by persons related to or having an identity of interest with the Developer or Builder will be considered as builder
profit and overhead; provided, however, that certifications as to costs of fuel, lubrication, normal expenditures for such identified equipment, maintenance, repair and depreciation will be considered as a construction cost.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Nathan</author>
  </authors>
  <commentList>
    <comment ref="I32" authorId="0" shapeId="0" xr:uid="{00000000-0006-0000-0A00-000001000000}">
      <text>
        <r>
          <rPr>
            <b/>
            <sz val="9"/>
            <color indexed="81"/>
            <rFont val="Tahoma"/>
            <family val="2"/>
          </rPr>
          <t>Nathan:</t>
        </r>
        <r>
          <rPr>
            <sz val="9"/>
            <color indexed="81"/>
            <rFont val="Tahoma"/>
            <family val="2"/>
          </rPr>
          <t xml:space="preserve">
Go to Rehab/Construction tab for input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Nathan Parkin</author>
  </authors>
  <commentList>
    <comment ref="L47" authorId="0" shapeId="0" xr:uid="{00000000-0006-0000-0C00-000001000000}">
      <text>
        <r>
          <rPr>
            <b/>
            <sz val="9"/>
            <color indexed="81"/>
            <rFont val="Tahoma"/>
            <family val="2"/>
          </rPr>
          <t>c. Maximum Return on Taxpayer Capital for Projects with HOME Funds
and Distributions of Surplus Cash: Any project which receives HOME
Funds from the Agency and which evidences satisfaction of the
Minimum Reserve Balance will be permitted a Capital Recovery
Payment on Taxpayer Capital equal to 350 basis points above the
comparable Treasury bill yields as of the Closing Date that are
coterminous with the return of taxpayer capital over a maximum fifteen
year period. Tax Credit equity shall be disregarded as Taxpayer
Capital. Surplus Cash evidenced in annual audits may be distributed
each fiscal year so long as such distributions are limited to not
exceeding fifty percent (50%) of such Surplus Cash.</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NJP</author>
  </authors>
  <commentList>
    <comment ref="B93" authorId="0" shapeId="0" xr:uid="{00000000-0006-0000-0D00-000001000000}">
      <text>
        <r>
          <rPr>
            <b/>
            <sz val="9"/>
            <color indexed="81"/>
            <rFont val="Tahoma"/>
            <family val="2"/>
          </rPr>
          <t>OCD CDBG funds repayment is approximated here but the precise calculation will appear in the AMEC model in line with OCD repayment language.</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NJP</author>
  </authors>
  <commentList>
    <comment ref="B37" authorId="0" shapeId="0" xr:uid="{00000000-0006-0000-0E00-000001000000}">
      <text>
        <r>
          <rPr>
            <b/>
            <sz val="9"/>
            <color indexed="81"/>
            <rFont val="Tahoma"/>
            <family val="2"/>
          </rPr>
          <t>OCD CDBG funds repayment is approximated here but the precise calculation will appear in the AMEC model in line with OCD repayment language.</t>
        </r>
        <r>
          <rPr>
            <sz val="9"/>
            <color indexed="81"/>
            <rFont val="Tahoma"/>
            <family val="2"/>
          </rPr>
          <t xml:space="preserve">
</t>
        </r>
      </text>
    </comment>
  </commentList>
</comments>
</file>

<file path=xl/sharedStrings.xml><?xml version="1.0" encoding="utf-8"?>
<sst xmlns="http://schemas.openxmlformats.org/spreadsheetml/2006/main" count="3228" uniqueCount="2169">
  <si>
    <t>Attorney's Fee Paid by Taxpayer</t>
  </si>
  <si>
    <t>Broker Fees Paid by Taxpayer</t>
  </si>
  <si>
    <t>* All amounts must relate solely to the Syndication.  No amounts should be shown without specifying the name of a payee</t>
  </si>
  <si>
    <t>Baton Rouge, Louisiana 70808</t>
  </si>
  <si>
    <t>2415 Quail Drive</t>
  </si>
  <si>
    <t xml:space="preserve">Any project which utilizes a condominium or division of a site for the purpose of receiving Low Income Housing Tax Credits in excess of the QAP stated maximum
</t>
  </si>
  <si>
    <t>excluded," as used in this clause, have the meanings set</t>
  </si>
  <si>
    <t>out in the Definitions and Coverage sections of rules</t>
  </si>
  <si>
    <t>implementing Executive Order 12549.</t>
  </si>
  <si>
    <t>regulations.</t>
  </si>
  <si>
    <t>The applicant agrees by submitting this proposal</t>
  </si>
  <si>
    <t>that, should the proposed covered transaction be</t>
  </si>
  <si>
    <t>entered into, it shall not knowingly enter into any lower</t>
  </si>
  <si>
    <t>tier covered transaction with a person who is debarred,</t>
  </si>
  <si>
    <t>suspended, declared ineligible, or voluntarily excluded</t>
  </si>
  <si>
    <t xml:space="preserve">The Net Equity* as of the Estimated Placed in Service Date of </t>
  </si>
  <si>
    <t>is</t>
  </si>
  <si>
    <t>AUDITOR</t>
  </si>
  <si>
    <t>Applicant must have control of the site and existing building(s) if any.</t>
  </si>
  <si>
    <t>h</t>
  </si>
  <si>
    <t>8.2a</t>
  </si>
  <si>
    <t>8.4a</t>
  </si>
  <si>
    <t>8.4b</t>
  </si>
  <si>
    <t>8.4c</t>
  </si>
  <si>
    <t>Calculation of Intermediary Cost</t>
  </si>
  <si>
    <t>Syndication Costs</t>
  </si>
  <si>
    <t>Architect's Fees</t>
  </si>
  <si>
    <t>Legal Fees</t>
  </si>
  <si>
    <t>Organization Fees</t>
  </si>
  <si>
    <t>Step 2:</t>
  </si>
  <si>
    <t>Specify amount shown as Total Uses of Funds</t>
  </si>
  <si>
    <t>Elevator Structures</t>
  </si>
  <si>
    <t xml:space="preserve">     Other Loan</t>
  </si>
  <si>
    <t>INELIGIBILITY AND VOLUNTARY EXCLUSION</t>
  </si>
  <si>
    <t>LOWER TIER COVERED TRANSACTIONS</t>
  </si>
  <si>
    <t>Instructions for Certification</t>
  </si>
  <si>
    <t>By signing and submitting this proposal, the</t>
  </si>
  <si>
    <t>applicant is providing the certification set out below.</t>
  </si>
  <si>
    <t>Enter utility allowances</t>
  </si>
  <si>
    <t>The certification in this clause is a material</t>
  </si>
  <si>
    <t>representation of fact upon which reliance was placed</t>
  </si>
  <si>
    <t>when this transaction was entered into.  If it is later</t>
  </si>
  <si>
    <t>Initial Operating  Reserve</t>
  </si>
  <si>
    <t xml:space="preserve">   Safety &amp; Violations</t>
  </si>
  <si>
    <t xml:space="preserve">   Security Systems</t>
  </si>
  <si>
    <t xml:space="preserve">   Code Violations</t>
  </si>
  <si>
    <t xml:space="preserve">   Totals</t>
  </si>
  <si>
    <t xml:space="preserve">   Inflation Factor at 2.5%</t>
  </si>
  <si>
    <t xml:space="preserve">   Inflated Totals</t>
  </si>
  <si>
    <t xml:space="preserve">   Roofs,  shingles w/gutters &amp; downspouts</t>
  </si>
  <si>
    <t xml:space="preserve">   CONSTRUCTION CONTINGENCY, NOT MORE THAN 10%</t>
  </si>
  <si>
    <t>Specify First year depreciation deduction pursuant to GO Zone Act of 2005:</t>
  </si>
  <si>
    <t>(If applicable)</t>
  </si>
  <si>
    <t>Taxpayer Closing Costs</t>
  </si>
  <si>
    <t>Audit Fees</t>
  </si>
  <si>
    <t>Rehabilitation Hard Costs</t>
  </si>
  <si>
    <t>Construction Hard Costs</t>
  </si>
  <si>
    <t>Acquisition Costs:</t>
  </si>
  <si>
    <t>TDC</t>
  </si>
  <si>
    <t>Developer Fee Paid</t>
  </si>
  <si>
    <t>Deferred Developer Fee</t>
  </si>
  <si>
    <t>(ii) Other</t>
  </si>
  <si>
    <t>Projected Residual Value of the property at term of First Mortgage?</t>
  </si>
  <si>
    <t>Projected Soft Loan Balance at term of First Mortgage?</t>
  </si>
  <si>
    <t>Where the applicant is unable to certify to any of</t>
  </si>
  <si>
    <t xml:space="preserve">   Community Notification Date? (Mayor/City Council)</t>
  </si>
  <si>
    <t>Accountant's Fee Paid by Syndicator</t>
  </si>
  <si>
    <t>If yes, attach written certification from HUD or RD that property is distressed.</t>
  </si>
  <si>
    <t>APPENDIX 11</t>
  </si>
  <si>
    <t>NON-PROFIT PARTICIPATION INFORMATION</t>
  </si>
  <si>
    <t>Date the non-profit was created:</t>
  </si>
  <si>
    <t>List the names and addresses of Board Members for the non-profit organization.</t>
  </si>
  <si>
    <t>Identify all paid, full time staff and sources of funds for annual operating expenses and current programs.</t>
  </si>
  <si>
    <t>Is Non-profit "Local"?</t>
  </si>
  <si>
    <t xml:space="preserve">If Applicant requested points based on non-profit being "Local," not more than fifteen percent (15%) of </t>
  </si>
  <si>
    <t>General Requirements &amp; Other Costs</t>
  </si>
  <si>
    <t>Development Type</t>
  </si>
  <si>
    <t>Acquisition/Rehab</t>
  </si>
  <si>
    <t>PHA Redevelopment</t>
  </si>
  <si>
    <t>Single Room Occupancy</t>
  </si>
  <si>
    <t>Other</t>
  </si>
  <si>
    <t>Family</t>
  </si>
  <si>
    <t>Both</t>
  </si>
  <si>
    <t>20% residents at 50% or less</t>
  </si>
  <si>
    <t>40% residents at 60% or less</t>
  </si>
  <si>
    <t>15% residents at 40% or less</t>
  </si>
  <si>
    <t>Elevator</t>
  </si>
  <si>
    <t>Walkup</t>
  </si>
  <si>
    <t>Row</t>
  </si>
  <si>
    <t>Semi-Detached</t>
  </si>
  <si>
    <t>Detached</t>
  </si>
  <si>
    <t>No</t>
  </si>
  <si>
    <t>Yes</t>
  </si>
  <si>
    <t>1BR</t>
  </si>
  <si>
    <t>TOTAL</t>
  </si>
  <si>
    <t>Residential Unit Mix:</t>
  </si>
  <si>
    <t>Unit BR Size</t>
  </si>
  <si>
    <t>FMR based upon Parish Selection</t>
  </si>
  <si>
    <t>Number of Units</t>
  </si>
  <si>
    <t>TCR based upon Parish Selection</t>
  </si>
  <si>
    <t>Grant/Contingent Loans/Subsidy</t>
  </si>
  <si>
    <t>Annual Debt Service</t>
  </si>
  <si>
    <t>Loan Servicer:</t>
  </si>
  <si>
    <t>Prepayment Penalty:</t>
  </si>
  <si>
    <t>Lock Out Date:</t>
  </si>
  <si>
    <t>Loan Type</t>
  </si>
  <si>
    <t>FIRST MORTGAGE</t>
  </si>
  <si>
    <t>Monthly P&amp;I Payment</t>
  </si>
  <si>
    <t>Balance at Term of First Mortgage:</t>
  </si>
  <si>
    <t>FORMAT FOR COUNSEL'S OPINION OF NON-PROFIT</t>
  </si>
  <si>
    <t>QUALIFICATION LOUISIANA LIHTC PROGRAM</t>
  </si>
  <si>
    <t>Is Non-profit a CHDO?</t>
  </si>
  <si>
    <t>Advertising-</t>
  </si>
  <si>
    <t>Admin. Exps.-</t>
  </si>
  <si>
    <t xml:space="preserve">Office Salaries- </t>
  </si>
  <si>
    <t xml:space="preserve">Office Supplies- </t>
  </si>
  <si>
    <t xml:space="preserve">Management Fee- </t>
  </si>
  <si>
    <t xml:space="preserve">Management or Super. Sal.-  </t>
  </si>
  <si>
    <t xml:space="preserve">Mgmt. or Super. Free Rent Unit- </t>
  </si>
  <si>
    <t xml:space="preserve">Legal Expenses (Project)- </t>
  </si>
  <si>
    <t xml:space="preserve">Auditing Exps. (Project)- </t>
  </si>
  <si>
    <t xml:space="preserve">Bookkeeping Fees/Acct. Services- </t>
  </si>
  <si>
    <t>TDC Per Unit Limit Calculation</t>
  </si>
  <si>
    <t>Max TDC/Unit</t>
  </si>
  <si>
    <t>Max TDC</t>
  </si>
  <si>
    <t xml:space="preserve">   Property located in a RURAL area?</t>
  </si>
  <si>
    <t xml:space="preserve">Yes </t>
  </si>
  <si>
    <t>Was income "determined" for the asset in 2007 or 2008?</t>
  </si>
  <si>
    <t xml:space="preserve">(i) Project Diversity - Percentage of Low Income Units in Project does not exceed:
  (Not Qualified for Selection Criteria in I-F Scattered Site Project and II-E Lease to Own)
</t>
  </si>
  <si>
    <t xml:space="preserve">60% of the Total Project units </t>
  </si>
  <si>
    <t xml:space="preserve">50% of the Total Project units </t>
  </si>
  <si>
    <t xml:space="preserve">40% of the Total Project units </t>
  </si>
  <si>
    <t>Number of Accessory Buildings</t>
  </si>
  <si>
    <t>Source</t>
  </si>
  <si>
    <t>X</t>
  </si>
  <si>
    <t>State PHA</t>
  </si>
  <si>
    <t>Utility Company</t>
  </si>
  <si>
    <t>LHFA</t>
  </si>
  <si>
    <t>HUD</t>
  </si>
  <si>
    <t>Local PHA</t>
  </si>
  <si>
    <t>Tenant Income &gt;40&lt;=50%</t>
  </si>
  <si>
    <t>Tenant Income &gt;50&lt;= 60%</t>
  </si>
  <si>
    <t>Average Monthly Rent</t>
  </si>
  <si>
    <t>exceptions:  Small Projects, Scattered Site Project, Special Needs Projects or Historic Rehabilitation Projects.</t>
  </si>
  <si>
    <t>10% Construction complete</t>
  </si>
  <si>
    <t>90% Construction complete</t>
  </si>
  <si>
    <t>50% Construction complete</t>
  </si>
  <si>
    <t>PLACED IN SERVICE DATE OF FIRST</t>
  </si>
  <si>
    <t>BUILDING</t>
  </si>
  <si>
    <t>CERTIFICATION OF DEMAND FOR NEW UNITS</t>
  </si>
  <si>
    <t>The undersigned duly authorized representative of the qualified housing consultant hereby certifies the following in connection with the market analysis conducted</t>
  </si>
  <si>
    <t>(1) Market Area: The Project is located in the following market area, as described in the attached market analysis.</t>
  </si>
  <si>
    <t>(Please provide a detailed description)</t>
  </si>
  <si>
    <t>VIII</t>
  </si>
  <si>
    <t>Unit Size</t>
  </si>
  <si>
    <t>Project Configuration No. of Units</t>
  </si>
  <si>
    <t>Total Market Area Units by Unit Size</t>
  </si>
  <si>
    <t>Substandard Units by Unit Size in Market Area</t>
  </si>
  <si>
    <t>Vacancy Rate in Market Area by Unit Size</t>
  </si>
  <si>
    <t xml:space="preserve">     Insurance</t>
  </si>
  <si>
    <t xml:space="preserve">     Management Fees</t>
  </si>
  <si>
    <t>Total Expenses</t>
  </si>
  <si>
    <t>Net Operating Income</t>
  </si>
  <si>
    <t>Replacement Reserves Contribution</t>
  </si>
  <si>
    <t>Adjusted Net Operating Income</t>
  </si>
  <si>
    <t xml:space="preserve"> Debt Service</t>
  </si>
  <si>
    <t xml:space="preserve">     1st Mortgage </t>
  </si>
  <si>
    <t xml:space="preserve">   Projected HOME Closing Date:</t>
  </si>
  <si>
    <t xml:space="preserve">   To be Formed Date</t>
  </si>
  <si>
    <t>Total Uses</t>
  </si>
  <si>
    <t>Step 3:</t>
  </si>
  <si>
    <t xml:space="preserve">   Project Street Address and City:</t>
  </si>
  <si>
    <t>To Print Entire Worksheet</t>
  </si>
  <si>
    <t>To Save FINAL Worksheet</t>
  </si>
  <si>
    <t>Describe the non-profit's name and participation in the development and operation of the project.</t>
  </si>
  <si>
    <t>E.</t>
  </si>
  <si>
    <t>F.</t>
  </si>
  <si>
    <t>G.</t>
  </si>
  <si>
    <t>H.</t>
  </si>
  <si>
    <t>I.</t>
  </si>
  <si>
    <t>J.</t>
  </si>
  <si>
    <t>K.</t>
  </si>
  <si>
    <t>L.</t>
  </si>
  <si>
    <t>M.</t>
  </si>
  <si>
    <t>V.</t>
  </si>
  <si>
    <t>In rendering the following opinion, we examined certificates containing representations made to us by (non-profit) and each potential participant in the Project, copies of which are attached hereto and incorporated herein by this reference.  Based on our review of the attached certificates, it is our opinion that:</t>
  </si>
  <si>
    <t>Location</t>
  </si>
  <si>
    <t>Subsidized</t>
  </si>
  <si>
    <t>ZONING CERTIFICATION</t>
  </si>
  <si>
    <t>Attn: Tax Credit/HOME Manager</t>
  </si>
  <si>
    <t>Syndicator's Fee</t>
  </si>
  <si>
    <t>Attorney's Fee Paid by Syndicator</t>
  </si>
  <si>
    <t>Broker Fees Paid by Syndicator</t>
  </si>
  <si>
    <t xml:space="preserve">Organizational Expense </t>
  </si>
  <si>
    <t>of Syndication</t>
  </si>
  <si>
    <t>Other:</t>
  </si>
  <si>
    <t>TOTAL Syndication Costs:</t>
  </si>
  <si>
    <t>_____________</t>
  </si>
  <si>
    <t>II.</t>
  </si>
  <si>
    <t>CERTIFICATION REGARDING DEBARMENT, SUSPENSION</t>
  </si>
  <si>
    <t>Mixed Income property has 40% or less low income units?</t>
  </si>
  <si>
    <t>Rents within the required rent limits?</t>
  </si>
  <si>
    <t>Placed In Service Date by the Discount Factor, (iii) adding the sum total of adjusted</t>
  </si>
  <si>
    <t xml:space="preserve">Version: </t>
  </si>
  <si>
    <t>Total Development Costs</t>
  </si>
  <si>
    <t>Acquisition Credit Percentage</t>
  </si>
  <si>
    <t>Permitted Acquisition Credit Per Building</t>
  </si>
  <si>
    <t xml:space="preserve">Installments from (i) and (ii).  The Compound Factor and the Discount Factor for purposes </t>
  </si>
  <si>
    <t>the property is not properly zoned for the proposed project.</t>
  </si>
  <si>
    <t>the property has not been zoned by this authority and no request has been made.</t>
  </si>
  <si>
    <t>Sincerely,</t>
  </si>
  <si>
    <t>Date:</t>
  </si>
  <si>
    <t>APPENDIX 4</t>
  </si>
  <si>
    <t>Financing Certification</t>
  </si>
  <si>
    <t>A.  Source of Funds</t>
  </si>
  <si>
    <t>Rehabilitation Costs</t>
  </si>
  <si>
    <t>Insulation</t>
  </si>
  <si>
    <t>Roofing</t>
  </si>
  <si>
    <t>Sheet Metal</t>
  </si>
  <si>
    <t>Doors</t>
  </si>
  <si>
    <t>Glass</t>
  </si>
  <si>
    <t>Lath and Plaster</t>
  </si>
  <si>
    <t>Drywall</t>
  </si>
  <si>
    <t>Tile Work</t>
  </si>
  <si>
    <t>Wood Flooring</t>
  </si>
  <si>
    <t>One of the exempt purposes of (non-profit) includes the fostering of low-income housing.</t>
  </si>
  <si>
    <t>Individuals or entities involved with or related to any potential for-profit participant in the Project are not involved with or related to the creation or management of (non-profit).</t>
  </si>
  <si>
    <t>LHFA Asset Management Fee</t>
  </si>
  <si>
    <t>Asset Management Fee</t>
  </si>
  <si>
    <t>C.</t>
  </si>
  <si>
    <t>D.</t>
  </si>
  <si>
    <t xml:space="preserve">Months from Reservation to Placed in Service: </t>
  </si>
  <si>
    <t>St. Bernard</t>
  </si>
  <si>
    <t>St. Charles</t>
  </si>
  <si>
    <t>Yes/No</t>
  </si>
  <si>
    <t>Syndication Multiple greater than 8.0?</t>
  </si>
  <si>
    <t>The undersigned hereby certifies under penalty of perjury that the information contained in this</t>
  </si>
  <si>
    <t>Financing Certification is true and correct as of ____________________________, ________.</t>
  </si>
  <si>
    <t>WITNESS this signature on the _____________ day of ______________________, ________.</t>
  </si>
  <si>
    <t>WITNESSES</t>
  </si>
  <si>
    <t>NOTARY</t>
  </si>
  <si>
    <t>Builder's Overhead</t>
  </si>
  <si>
    <t>Limit</t>
  </si>
  <si>
    <t>Actual</t>
  </si>
  <si>
    <t>IV.</t>
  </si>
  <si>
    <t>Market Rent</t>
  </si>
  <si>
    <t xml:space="preserve">an "arm's-length" basis.   There is no identity-of-interest between the entities listed in the Sources </t>
  </si>
  <si>
    <t>of Interim Funds and any partners or investors in the Taxpayer/Applicant.</t>
  </si>
  <si>
    <t>Interim Funds from Syndicator and Syndication Costs:</t>
  </si>
  <si>
    <t xml:space="preserve">The Syndicator will provide interim financing of </t>
  </si>
  <si>
    <t>at an interest rate of</t>
  </si>
  <si>
    <t>Fund Sources</t>
  </si>
  <si>
    <t>Syndication Costs Paid by Taxpayer or Developer:</t>
  </si>
  <si>
    <t xml:space="preserve">The following amounts represent syndication expenses to be incurred and paid by </t>
  </si>
  <si>
    <t xml:space="preserve">   Census tract:</t>
  </si>
  <si>
    <t xml:space="preserve">   Precinct Number:</t>
  </si>
  <si>
    <t xml:space="preserve">   Minimum number of HOME assisted units:</t>
  </si>
  <si>
    <t xml:space="preserve">   Microwave:</t>
  </si>
  <si>
    <t xml:space="preserve">   Refrigerator:</t>
  </si>
  <si>
    <t xml:space="preserve">   Carpet:</t>
  </si>
  <si>
    <t xml:space="preserve">   Drapes:</t>
  </si>
  <si>
    <t xml:space="preserve">   Swimming Pool:</t>
  </si>
  <si>
    <t xml:space="preserve">   Air Conditioning Equip:</t>
  </si>
  <si>
    <t xml:space="preserve">   Trash Compactor:</t>
  </si>
  <si>
    <t xml:space="preserve">   Kitchen Exhaust Fan:</t>
  </si>
  <si>
    <t xml:space="preserve">   Dishwasher:</t>
  </si>
  <si>
    <t xml:space="preserve">   Disposal:</t>
  </si>
  <si>
    <t xml:space="preserve">   Laundry Facilities:</t>
  </si>
  <si>
    <t xml:space="preserve">   Heat:</t>
  </si>
  <si>
    <t xml:space="preserve">   Hot Water:</t>
  </si>
  <si>
    <t xml:space="preserve">   Cooking:</t>
  </si>
  <si>
    <t xml:space="preserve">   Air Conditioning:</t>
  </si>
  <si>
    <t xml:space="preserve">   Lights:</t>
  </si>
  <si>
    <t xml:space="preserve">   Cold Water:</t>
  </si>
  <si>
    <t>Homeless Households</t>
  </si>
  <si>
    <t>YES</t>
  </si>
  <si>
    <t>NO</t>
  </si>
  <si>
    <t>CEO NOTIFICATION LETTER INFORMATION</t>
  </si>
  <si>
    <t>NOTE:  Please provide the following information for each of the jurisdictions the project falls within. (Local, Parish, and State Rep.)</t>
  </si>
  <si>
    <t>CEO Notification Letter Information 1</t>
  </si>
  <si>
    <t>Project Name:</t>
  </si>
  <si>
    <t>Name of local Chief Executive Officer (CEO):</t>
  </si>
  <si>
    <t>Job Title:</t>
  </si>
  <si>
    <t>Municipality/Locality:</t>
  </si>
  <si>
    <t>Street Address:</t>
  </si>
  <si>
    <t>City, State, Zip:</t>
  </si>
  <si>
    <t>Initial Operating Reserves greater than 6 mths of  expenses?</t>
  </si>
  <si>
    <t>Note this .xls file must be submitted via the</t>
  </si>
  <si>
    <t>LHFA online submission protocol.</t>
  </si>
  <si>
    <t>DATE OF APPLICATION:</t>
  </si>
  <si>
    <t>There is no obligation on the part of the local housing authority to refer tenants to this project, nor is there any obligation on behalf of the project to accept all referred tenants.  Additionally, all tenants accepted must meet the occupancy requirements set by the HOME and/or LIHTC programs.</t>
  </si>
  <si>
    <t>By signing this agreement the (PHA)  agrees to refer clients to  and  agrees to accept tenants if qualified.</t>
  </si>
  <si>
    <t>(PHA)</t>
  </si>
  <si>
    <t>Neighborhood Network-</t>
  </si>
  <si>
    <t>Total O &amp; M Expenses:</t>
  </si>
  <si>
    <t xml:space="preserve">Taxes &amp; Insurance </t>
  </si>
  <si>
    <t xml:space="preserve">Real Estate Taxes- </t>
  </si>
  <si>
    <t xml:space="preserve">Payroll Taxes (FICA)-  </t>
  </si>
  <si>
    <t xml:space="preserve">Misc. Taxes, Licenses, &amp; Permits- </t>
  </si>
  <si>
    <t>Discounted Cash Flow to owner over term of first loan</t>
  </si>
  <si>
    <t>Your</t>
  </si>
  <si>
    <t>Possible</t>
  </si>
  <si>
    <t>Points</t>
  </si>
  <si>
    <t>A.</t>
  </si>
  <si>
    <t>B.</t>
  </si>
  <si>
    <t>rehabilitation requirements for the Project as well as the cost estimates for the Project</t>
  </si>
  <si>
    <t>APPENDIX 3</t>
  </si>
  <si>
    <t>OWNERSHIP HISTORY OF EXISTING BUILDINGS</t>
  </si>
  <si>
    <t>This worksheet must be completed if Taxpayer is requesting credits for the purchase price of an existing</t>
  </si>
  <si>
    <t xml:space="preserve">building.  </t>
  </si>
  <si>
    <t xml:space="preserve">I. </t>
  </si>
  <si>
    <t xml:space="preserve">Specify the date on which building was acquired by purchase as defined in Section 179(d)(2) of the </t>
  </si>
  <si>
    <t>25th Year</t>
  </si>
  <si>
    <t>30th Year</t>
  </si>
  <si>
    <t>35th Year</t>
  </si>
  <si>
    <t>Census Tract number:</t>
  </si>
  <si>
    <t>HUB Zone</t>
  </si>
  <si>
    <t>St. Helena</t>
  </si>
  <si>
    <t>St. James</t>
  </si>
  <si>
    <t>St. John</t>
  </si>
  <si>
    <t>St. Landry</t>
  </si>
  <si>
    <t>St. Martin</t>
  </si>
  <si>
    <t>St. Mary</t>
  </si>
  <si>
    <t>FOR YES RESPONSES, SUMMARIZE RESTRICTIONS BELOW:</t>
  </si>
  <si>
    <t xml:space="preserve">Minimum Selection Criteria Points of 60? </t>
  </si>
  <si>
    <t>this ____ day of ________, _______.</t>
  </si>
  <si>
    <t>Lawns and Planting</t>
  </si>
  <si>
    <t>Unusual Site Conditions</t>
  </si>
  <si>
    <t>General Requirements</t>
  </si>
  <si>
    <t>Supervision</t>
  </si>
  <si>
    <t>Field Engineering</t>
  </si>
  <si>
    <t>Field Office Expense</t>
  </si>
  <si>
    <t>Temporary Facilities</t>
  </si>
  <si>
    <t>Temporary Utilities</t>
  </si>
  <si>
    <t>Cleaning &amp; Rubbish Removal</t>
  </si>
  <si>
    <t>Builders Risk Insurance</t>
  </si>
  <si>
    <t>Watchmen Wages</t>
  </si>
  <si>
    <t>Travel Expense</t>
  </si>
  <si>
    <t>Building Permit</t>
  </si>
  <si>
    <t xml:space="preserve">Other: </t>
  </si>
  <si>
    <t>Builder Overhead</t>
  </si>
  <si>
    <t xml:space="preserve">Firm Commitment           </t>
  </si>
  <si>
    <t>2.</t>
  </si>
  <si>
    <t>Permanent Loan</t>
  </si>
  <si>
    <t>3.</t>
  </si>
  <si>
    <t>Other Loans and Grants</t>
  </si>
  <si>
    <t>Type &amp; Source</t>
  </si>
  <si>
    <t xml:space="preserve">Application </t>
  </si>
  <si>
    <t xml:space="preserve">Award </t>
  </si>
  <si>
    <t>4.</t>
  </si>
  <si>
    <t xml:space="preserve">PLANS AND SPECIFICATIONS, </t>
  </si>
  <si>
    <t>WORKING DRAWINGS</t>
  </si>
  <si>
    <t xml:space="preserve">CLOSING AND TRANSFER OF PROPERTY  </t>
  </si>
  <si>
    <t xml:space="preserve">CONSTRUCTION START </t>
  </si>
  <si>
    <t>COMPLETION DATE</t>
  </si>
  <si>
    <t xml:space="preserve">DATE OF LAST BUILDING PLACED </t>
  </si>
  <si>
    <t>IN SERVICE</t>
  </si>
  <si>
    <t>Cover</t>
  </si>
  <si>
    <t>Reserve 20 Years</t>
  </si>
  <si>
    <t>Syndication</t>
  </si>
  <si>
    <t>Pro forma Calculation</t>
  </si>
  <si>
    <t>Pro Forma</t>
  </si>
  <si>
    <t>Amortization</t>
  </si>
  <si>
    <t/>
  </si>
  <si>
    <t>Subject:</t>
  </si>
  <si>
    <t>Project Name Here</t>
  </si>
  <si>
    <t>City and State Here</t>
  </si>
  <si>
    <t>This letter certifies the following:</t>
  </si>
  <si>
    <t>the property is properly zoned for the proposed project.</t>
  </si>
  <si>
    <t>T/C</t>
  </si>
  <si>
    <t xml:space="preserve">Parish: </t>
  </si>
  <si>
    <t>General Information:</t>
  </si>
  <si>
    <t>Property Breakdown:</t>
  </si>
  <si>
    <t>0BR</t>
  </si>
  <si>
    <t>2BR</t>
  </si>
  <si>
    <t>3BR</t>
  </si>
  <si>
    <t>4BR</t>
  </si>
  <si>
    <t>5BR</t>
  </si>
  <si>
    <t>Appraisal:</t>
  </si>
  <si>
    <t xml:space="preserve">Project Name: </t>
  </si>
  <si>
    <t>Application Progress Date:</t>
  </si>
  <si>
    <t>Value Other Subsidies</t>
  </si>
  <si>
    <t>Tax Abatement</t>
  </si>
  <si>
    <t>Historic Rehab Credit</t>
  </si>
  <si>
    <t>Land Donation</t>
  </si>
  <si>
    <t>Credit Enhancements</t>
  </si>
  <si>
    <t>FHA Section #</t>
  </si>
  <si>
    <t xml:space="preserve">   Parking:</t>
  </si>
  <si>
    <t xml:space="preserve">   Range:</t>
  </si>
  <si>
    <t xml:space="preserve">   Community Facility:</t>
  </si>
  <si>
    <t xml:space="preserve">   Security:</t>
  </si>
  <si>
    <t xml:space="preserve">   Exterior Finish</t>
  </si>
  <si>
    <t xml:space="preserve">   Heating System</t>
  </si>
  <si>
    <t xml:space="preserve">   Air Conditioning System</t>
  </si>
  <si>
    <t xml:space="preserve">   Foundation </t>
  </si>
  <si>
    <t xml:space="preserve">   Date that proper Zoning is to be obtained:</t>
  </si>
  <si>
    <t>Annual Ground Rent:</t>
  </si>
  <si>
    <t>*</t>
  </si>
  <si>
    <t>Lease Term:</t>
  </si>
  <si>
    <t>years</t>
  </si>
  <si>
    <t>Remaining Years:</t>
  </si>
  <si>
    <t>Date of Lease:</t>
  </si>
  <si>
    <t>Syndicator:</t>
  </si>
  <si>
    <t>proposal that it will include this clause titled "Certifi-</t>
  </si>
  <si>
    <t>cation Regarding Debarment, Suspension, Ineligibility</t>
  </si>
  <si>
    <t>Taxpayer</t>
  </si>
  <si>
    <t>Sworn to and subscribed before me</t>
  </si>
  <si>
    <t>this ____ day of ________, ______.</t>
  </si>
  <si>
    <t>Notary Public, State of __________________</t>
  </si>
  <si>
    <r>
      <t xml:space="preserve">I.  </t>
    </r>
    <r>
      <rPr>
        <u/>
        <sz val="10"/>
        <rFont val="Times New Roman"/>
        <family val="1"/>
      </rPr>
      <t>PREVIOUS PARTICIPATION OF MANAGING GENERAL PARTNER</t>
    </r>
  </si>
  <si>
    <r>
      <t xml:space="preserve"> II.  </t>
    </r>
    <r>
      <rPr>
        <u/>
        <sz val="10"/>
        <rFont val="Times New Roman"/>
        <family val="1"/>
      </rPr>
      <t>DISCLOSURE OF IDENTITIES OF INTEREST RELATED PARTIES</t>
    </r>
    <r>
      <rPr>
        <sz val="10"/>
        <rFont val="Times New Roman"/>
        <family val="1"/>
      </rPr>
      <t>:</t>
    </r>
  </si>
  <si>
    <t>Staus</t>
  </si>
  <si>
    <t>The Maximum Average Dollar Per Square Foot for all development types is $150/s.f. with the following</t>
  </si>
  <si>
    <t xml:space="preserve">Placed In Service Date by the Compound Factor, (ii) discounting Installments following the </t>
  </si>
  <si>
    <t>Related Board Members and Staff:</t>
  </si>
  <si>
    <t xml:space="preserve">You must include Annual Ground Rent as a Miscellaneous Expense </t>
  </si>
  <si>
    <t xml:space="preserve">   Type of Construction</t>
  </si>
  <si>
    <t>New Construction/Conversions-Multifamily</t>
  </si>
  <si>
    <t>New Construction/Conversions-Scattered Site</t>
  </si>
  <si>
    <t>New Construction/Conversions-Other (explain)</t>
  </si>
  <si>
    <t>Historic Rehab-Multifamily</t>
  </si>
  <si>
    <t>Historic Rehab- Scattered Site</t>
  </si>
  <si>
    <t>Historic Rehab-Other (explain)</t>
  </si>
  <si>
    <t>Acquisition/Rehab-Multifamily</t>
  </si>
  <si>
    <t>Acquisition/Rehab-Scattered Site</t>
  </si>
  <si>
    <t>Acquisition/Rehab-Other (explain)</t>
  </si>
  <si>
    <t>Substantial Rehab-Multifamily</t>
  </si>
  <si>
    <t>Substantial Rehab-Scattered Site</t>
  </si>
  <si>
    <t>Substantial Rehab-Other (explain)</t>
  </si>
  <si>
    <t>Elderly</t>
  </si>
  <si>
    <t>Other (explain)</t>
  </si>
  <si>
    <t>Calculated Basis Credit equal or exceed your request?</t>
  </si>
  <si>
    <t>Developer Fee within the allowable limit?</t>
  </si>
  <si>
    <t>Builder Profit within the allowable limit?</t>
  </si>
  <si>
    <t>Builder Overhead within the allowable limit?</t>
  </si>
  <si>
    <t>General Requirements within the allowable limit?</t>
  </si>
  <si>
    <t>Reserve Deposits adequate?</t>
  </si>
  <si>
    <t>Sources of funds adequate</t>
  </si>
  <si>
    <t>bear a relationship either to the Taxpayer or the General Partner within the meaning of Section 267(b) or</t>
  </si>
  <si>
    <t>Tangipahoa</t>
  </si>
  <si>
    <t>Tensas</t>
  </si>
  <si>
    <t>Terrebonne</t>
  </si>
  <si>
    <t>Union</t>
  </si>
  <si>
    <t>Vermilion</t>
  </si>
  <si>
    <t>Vernon</t>
  </si>
  <si>
    <t>Washington</t>
  </si>
  <si>
    <t>Webster</t>
  </si>
  <si>
    <t>Tenant Income &gt;60&lt;= 80%</t>
  </si>
  <si>
    <t>Winn</t>
  </si>
  <si>
    <t>Unit</t>
  </si>
  <si>
    <t>Economic</t>
  </si>
  <si>
    <t>Life</t>
  </si>
  <si>
    <t xml:space="preserve">   Maximum HOME Funds Requested: </t>
  </si>
  <si>
    <t xml:space="preserve">   Federal ID / SSN:</t>
  </si>
  <si>
    <t xml:space="preserve">   Taxpayer Address:</t>
  </si>
  <si>
    <t xml:space="preserve">   Funding Type</t>
  </si>
  <si>
    <t>Per-Capita Credits</t>
  </si>
  <si>
    <t>Ike Credits</t>
  </si>
  <si>
    <t>GO Zone Credits</t>
  </si>
  <si>
    <t xml:space="preserve">   Lighting, porch lights</t>
  </si>
  <si>
    <t xml:space="preserve">   Lighting, building mounted</t>
  </si>
  <si>
    <t xml:space="preserve">   Signage</t>
  </si>
  <si>
    <t xml:space="preserve">   Parking Garage</t>
  </si>
  <si>
    <t xml:space="preserve">   Amenities, playground</t>
  </si>
  <si>
    <t xml:space="preserve">   Amenities, pool deck</t>
  </si>
  <si>
    <t>Government support reduces project development costs by providing CDBG, HOME, or other governmental assistance/funding</t>
  </si>
  <si>
    <t>in the form of loan, grants, rental assistance or a combination of these forms or by:</t>
  </si>
  <si>
    <t>* Waiving water and sewer tap fees;</t>
  </si>
  <si>
    <t>* Waiving building permit fees;</t>
  </si>
  <si>
    <t>* Contributing land for project development;</t>
  </si>
  <si>
    <t>* Foregoing real property taxes during construction;</t>
  </si>
  <si>
    <t>* Providing below market rate construction and/or permanent financing;</t>
  </si>
  <si>
    <t>7% or more of total project development cost reduction</t>
  </si>
  <si>
    <t>Greater than or equal to 4% but less than 7% of total project development cost reduction</t>
  </si>
  <si>
    <t>2% but less than 4% of total project development cost reduction</t>
  </si>
  <si>
    <t>APPENDIX 33</t>
  </si>
  <si>
    <t>APPENDIX 41</t>
  </si>
  <si>
    <t>Mandatory- Attach organizational structure of partnership with ownership percentage indicated.</t>
  </si>
  <si>
    <t>Sponsor:</t>
  </si>
  <si>
    <t>Consultant:</t>
  </si>
  <si>
    <t>(Independent 3rd Party)</t>
  </si>
  <si>
    <t>Architect:</t>
  </si>
  <si>
    <t>Managing General Partner</t>
  </si>
  <si>
    <t xml:space="preserve">Limited Liability Company </t>
  </si>
  <si>
    <t xml:space="preserve">1st </t>
  </si>
  <si>
    <t>2nd</t>
  </si>
  <si>
    <t xml:space="preserve">Final </t>
  </si>
  <si>
    <t>Review</t>
  </si>
  <si>
    <t>Score</t>
  </si>
  <si>
    <t>Electronic Application for Funding Round</t>
  </si>
  <si>
    <t>Total Number of Buildings</t>
  </si>
  <si>
    <t>Building Configuration</t>
  </si>
  <si>
    <t>Number of Buildings with Configuration</t>
  </si>
  <si>
    <t>Number of Building Configurations</t>
  </si>
  <si>
    <t>Total</t>
  </si>
  <si>
    <t>Configuration</t>
  </si>
  <si>
    <t>Per Building Residential Area</t>
  </si>
  <si>
    <t>Per Building Non-Residential Area</t>
  </si>
  <si>
    <t>Per Building Total Area</t>
  </si>
  <si>
    <t>Total Number of Units in Configuration</t>
  </si>
  <si>
    <t>Number of  0BR Units Per Building</t>
  </si>
  <si>
    <t>Number of  1BR Units Per Building</t>
  </si>
  <si>
    <t>Resilient Flooring</t>
  </si>
  <si>
    <t>Number of  Other BR Units Per Building</t>
  </si>
  <si>
    <t>Total Area of Accessory Buildings</t>
  </si>
  <si>
    <t>Reserve Account Interest Rate:</t>
  </si>
  <si>
    <t>Year-20 Ending Balance per Unit:</t>
  </si>
  <si>
    <t>Windows</t>
  </si>
  <si>
    <t>Acadia</t>
  </si>
  <si>
    <t>Allen</t>
  </si>
  <si>
    <t>Ascension</t>
  </si>
  <si>
    <t>Assumption</t>
  </si>
  <si>
    <t>Avoyelles</t>
  </si>
  <si>
    <t>Beauregard</t>
  </si>
  <si>
    <t>Checklist</t>
  </si>
  <si>
    <t>CHECKLIST</t>
  </si>
  <si>
    <t>Required</t>
  </si>
  <si>
    <t>Included</t>
  </si>
  <si>
    <t>Notarized</t>
  </si>
  <si>
    <t>--</t>
  </si>
  <si>
    <t>a)</t>
  </si>
  <si>
    <t>b)</t>
  </si>
  <si>
    <t>Syndication Information</t>
  </si>
  <si>
    <t>SEC filings</t>
  </si>
  <si>
    <t>Pro Forma Calculation</t>
  </si>
  <si>
    <t>Pool Selection and Tax Credit Selection Criteria</t>
  </si>
  <si>
    <t>Documents in Support of Applicant Information</t>
  </si>
  <si>
    <t xml:space="preserve">Attach waiver request letter for minimum bathroom and bedroom size if appropriate </t>
  </si>
  <si>
    <t xml:space="preserve">Attach certification letter of compliance for reduction of minimum s.f. requirements </t>
  </si>
  <si>
    <r>
      <t>Syndication Information and Certification</t>
    </r>
    <r>
      <rPr>
        <i/>
        <sz val="10"/>
        <rFont val="Times New Roman"/>
        <family val="1"/>
      </rPr>
      <t xml:space="preserve"> (attach completed signed &amp; notarized PDF  document)</t>
    </r>
  </si>
  <si>
    <r>
      <t xml:space="preserve">Financing Cert   </t>
    </r>
    <r>
      <rPr>
        <i/>
        <sz val="10"/>
        <rFont val="Times New Roman"/>
        <family val="1"/>
      </rPr>
      <t xml:space="preserve"> (attach completed signed &amp; notarized PDF  document)</t>
    </r>
  </si>
  <si>
    <t>Attach detailed organizational chart ( include contact information and ownership percentages for each entity)</t>
  </si>
  <si>
    <r>
      <t xml:space="preserve">Taxpayer Certification  </t>
    </r>
    <r>
      <rPr>
        <i/>
        <sz val="10"/>
        <rFont val="Times New Roman"/>
        <family val="1"/>
      </rPr>
      <t xml:space="preserve"> (attach completed PDF signed &amp; notarized document)</t>
    </r>
  </si>
  <si>
    <r>
      <t xml:space="preserve">Ownership Information  </t>
    </r>
    <r>
      <rPr>
        <i/>
        <sz val="10"/>
        <rFont val="Times New Roman"/>
        <family val="1"/>
      </rPr>
      <t>(attach completed PDF signed document)</t>
    </r>
  </si>
  <si>
    <t>Worksheet (attach completed PDF  document)</t>
  </si>
  <si>
    <r>
      <t>Ownership History</t>
    </r>
    <r>
      <rPr>
        <i/>
        <sz val="10"/>
        <rFont val="Times New Roman"/>
        <family val="1"/>
      </rPr>
      <t xml:space="preserve"> (if applicable, attach completed signed &amp; notarized PDF  document)</t>
    </r>
  </si>
  <si>
    <t>Letter from any federal agency providing federal funds or insurance advising that it has no objections to the reservation of tax credits to the project.</t>
  </si>
  <si>
    <r>
      <t xml:space="preserve">Non-Profit Participation Information  </t>
    </r>
    <r>
      <rPr>
        <i/>
        <sz val="10"/>
        <rFont val="Times New Roman"/>
        <family val="1"/>
      </rPr>
      <t>(attach completed PDF document)</t>
    </r>
  </si>
  <si>
    <r>
      <t xml:space="preserve">Certification Regarding Debarment </t>
    </r>
    <r>
      <rPr>
        <i/>
        <sz val="10"/>
        <rFont val="Times New Roman"/>
        <family val="1"/>
      </rPr>
      <t>(attach completed signed PDF  document)</t>
    </r>
  </si>
  <si>
    <r>
      <t xml:space="preserve">Matching Certification  </t>
    </r>
    <r>
      <rPr>
        <i/>
        <sz val="10"/>
        <rFont val="Times New Roman"/>
        <family val="1"/>
      </rPr>
      <t>(attach completed signed &amp; notarized PDF  document)</t>
    </r>
  </si>
  <si>
    <t xml:space="preserve">Other project information (for items not listed elsewhere)
</t>
  </si>
  <si>
    <r>
      <t xml:space="preserve">Certification of Demand </t>
    </r>
    <r>
      <rPr>
        <i/>
        <sz val="10"/>
        <rFont val="Times New Roman"/>
        <family val="1"/>
      </rPr>
      <t>(To be supplied by Market Analyst)</t>
    </r>
  </si>
  <si>
    <r>
      <t xml:space="preserve">Developer Experience  </t>
    </r>
    <r>
      <rPr>
        <i/>
        <sz val="10"/>
        <rFont val="Times New Roman"/>
        <family val="1"/>
      </rPr>
      <t>(attach completed PDF signed document)</t>
    </r>
  </si>
  <si>
    <r>
      <t xml:space="preserve">Management Experience  </t>
    </r>
    <r>
      <rPr>
        <i/>
        <sz val="10"/>
        <rFont val="Times New Roman"/>
        <family val="1"/>
      </rPr>
      <t>(attach completed PDF signed document)</t>
    </r>
  </si>
  <si>
    <t>List:</t>
  </si>
  <si>
    <t>1st</t>
  </si>
  <si>
    <t>Final</t>
  </si>
  <si>
    <t>Management Experience</t>
  </si>
  <si>
    <t>(Please select one)</t>
  </si>
  <si>
    <t>Project Contact</t>
  </si>
  <si>
    <t>Project Type</t>
  </si>
  <si>
    <t>Low Income Units</t>
  </si>
  <si>
    <t>Total Number of Low Income units</t>
  </si>
  <si>
    <t>If yes, please complete the following for one projects:</t>
  </si>
  <si>
    <t>Project Number</t>
  </si>
  <si>
    <t>Tax Credit Amount</t>
  </si>
  <si>
    <t>Date of 8609</t>
  </si>
  <si>
    <t>ALABAMA</t>
  </si>
  <si>
    <t>ALASKA</t>
  </si>
  <si>
    <t xml:space="preserve">ARIZONA </t>
  </si>
  <si>
    <t>Sponsor</t>
  </si>
  <si>
    <t>ARKANSAS</t>
  </si>
  <si>
    <t xml:space="preserve">CALIFORNIA </t>
  </si>
  <si>
    <t xml:space="preserve">COLORADO </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</si>
  <si>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</si>
  <si>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</si>
  <si>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</si>
  <si>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</si>
  <si>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</si>
  <si>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</si>
  <si>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</si>
  <si>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</si>
  <si>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</si>
  <si>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</si>
  <si>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</si>
  <si>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</si>
  <si>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</si>
  <si>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</si>
  <si>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</si>
  <si>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</si>
  <si>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</si>
  <si>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</si>
  <si>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</si>
  <si>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</si>
  <si>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</si>
  <si>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</si>
  <si>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</si>
  <si>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</si>
  <si>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</si>
  <si>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</si>
  <si>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</si>
  <si>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</si>
  <si>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</si>
  <si>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</si>
  <si>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</si>
  <si>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</si>
  <si>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</si>
  <si>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</si>
  <si>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</si>
  <si>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</si>
  <si>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</si>
  <si>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</si>
  <si>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</si>
  <si>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</si>
  <si>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 xml:space="preserve">VIRGINIA </t>
  </si>
  <si>
    <t>WEST VIRGINIA</t>
  </si>
  <si>
    <t>WISCONSIN</t>
  </si>
  <si>
    <t>WYOMING</t>
  </si>
  <si>
    <r>
      <rPr>
        <sz val="11"/>
        <color indexed="8"/>
        <rFont val="Calibri"/>
        <family val="2"/>
      </rPr>
      <t xml:space="preserve">Complete the information below for projects your organization has developed, placed in service, and currently owns.  List only those projects whose size or scope meet the requirements stated in the QAP. </t>
    </r>
    <r>
      <rPr>
        <b/>
        <sz val="11"/>
        <color indexed="8"/>
        <rFont val="Calibri"/>
        <family val="2"/>
      </rPr>
      <t xml:space="preserve"> </t>
    </r>
    <r>
      <rPr>
        <b/>
        <i/>
        <sz val="11"/>
        <color indexed="8"/>
        <rFont val="Calibri"/>
        <family val="2"/>
      </rPr>
      <t>Do not include projects approved but not yet placed</t>
    </r>
  </si>
  <si>
    <t>Management Company</t>
  </si>
  <si>
    <t>Management Contact</t>
  </si>
  <si>
    <t>Management Contact Phone Number</t>
  </si>
  <si>
    <t>Section 707(b)(1)?</t>
  </si>
  <si>
    <t>or who have any interests in any project receiving Tax Credits and/or project subject to compliance monitoring</t>
  </si>
  <si>
    <t>Proceeds from Historic Tax Credits</t>
  </si>
  <si>
    <t>Total Source of Funds:</t>
  </si>
  <si>
    <t>Total Annual Debt Service Cost</t>
  </si>
  <si>
    <t>Placed in Service Date</t>
  </si>
  <si>
    <t>Provide the following information about the current legal owner:</t>
  </si>
  <si>
    <t>Address</t>
  </si>
  <si>
    <t>City</t>
  </si>
  <si>
    <t>State</t>
  </si>
  <si>
    <t>Zip</t>
  </si>
  <si>
    <t>Fax</t>
  </si>
  <si>
    <t>Land costs NOT in Basis (negative)</t>
  </si>
  <si>
    <t>Acquisition costs NOT in Construction Basis</t>
  </si>
  <si>
    <t>Other costs NOT in Construction Basis</t>
  </si>
  <si>
    <t>Adjusted Construction Basis</t>
  </si>
  <si>
    <t xml:space="preserve">   Flooring, carpet common areas</t>
  </si>
  <si>
    <t xml:space="preserve">   Flooring, carpet units</t>
  </si>
  <si>
    <t xml:space="preserve">   Flooring, tile common areas</t>
  </si>
  <si>
    <t xml:space="preserve">   Flooring, tile units</t>
  </si>
  <si>
    <t xml:space="preserve">   Cabinets</t>
  </si>
  <si>
    <t>Total Other Income:</t>
  </si>
  <si>
    <t>EFFECTIVE GROSS INCOME</t>
  </si>
  <si>
    <t xml:space="preserve">Admin. Exps </t>
  </si>
  <si>
    <t xml:space="preserve">   Exterior Stairs, wood</t>
  </si>
  <si>
    <t xml:space="preserve">   Exterior Stairs, filled metal pans </t>
  </si>
  <si>
    <t xml:space="preserve">   Exterior Stairs, concrete</t>
  </si>
  <si>
    <t xml:space="preserve">   Balconies / Landings</t>
  </si>
  <si>
    <t xml:space="preserve">   Interior</t>
  </si>
  <si>
    <t xml:space="preserve">   Walls and ceilings, common areas</t>
  </si>
  <si>
    <t xml:space="preserve">   Walls and ceilings, units</t>
  </si>
  <si>
    <t>No. of Buildings</t>
  </si>
  <si>
    <t>Square Footage</t>
  </si>
  <si>
    <t>Development Cost</t>
  </si>
  <si>
    <t>Commercial</t>
  </si>
  <si>
    <t>Accessory</t>
  </si>
  <si>
    <t>Community Facility or Community Services Facility</t>
  </si>
  <si>
    <t>Residential Low income:</t>
  </si>
  <si>
    <t>Residential Market:</t>
  </si>
  <si>
    <t>Addresses of Buildings for LHFA HDS system:</t>
  </si>
  <si>
    <t>Rent level Acceptable</t>
  </si>
  <si>
    <t>Soft Costs (Pre Placed in Service)</t>
  </si>
  <si>
    <t>Permanent First Mortgage Loan Principal</t>
  </si>
  <si>
    <t>Permanent Second Mortgage Loan Principal</t>
  </si>
  <si>
    <t xml:space="preserve">     2: </t>
  </si>
  <si>
    <t>Other Post Placed in Service Fees or Non-Fundable Costs</t>
  </si>
  <si>
    <t>Temporary Contraction Loan</t>
  </si>
  <si>
    <t>for the Project as of the Project's Placed in Service Date.</t>
  </si>
  <si>
    <t>List Total Source of Funds (including grants but excluding construction loans to be paid by permanent sources of funds)</t>
  </si>
  <si>
    <t>Submit File, then mail printout and excel file to LHFA</t>
  </si>
  <si>
    <t>When complete, upload file to the LHFA website by pressing the Submit/Upload button</t>
  </si>
  <si>
    <t>The needs to be done once per application.</t>
  </si>
  <si>
    <t xml:space="preserve">Other Expenses-   </t>
  </si>
  <si>
    <t xml:space="preserve">Misc. O &amp; M Expenses- </t>
  </si>
  <si>
    <t>13)</t>
  </si>
  <si>
    <t>14)</t>
  </si>
  <si>
    <t>15)</t>
  </si>
  <si>
    <t>III.</t>
  </si>
  <si>
    <t>Sources of Interim Financing From Commercial Lenders:</t>
  </si>
  <si>
    <t>Please be advised, the following checklist is provided as guidance only.  The QAP/Selection Criteria requirements are the governing documents.</t>
  </si>
  <si>
    <t>RD Rural Rehab- evidence of financing by United States Department of Agriculture Rural Development under Section 520 of the Housing Act of 1949</t>
  </si>
  <si>
    <t>Deconcentration Project-  Geographic Diversity</t>
  </si>
  <si>
    <t>Redevelopment Project- Provide evidence as cited in glossary of QAP for (i) a Distressed Property, (ii) Redevelopment Property, (iii) Owner-Occupied Property covered by a Development Plan of Action, or (iv) Urban Redevelopment Property.</t>
  </si>
  <si>
    <t xml:space="preserve">The information contained in this Syndication Information and Certification is true and correct as </t>
  </si>
  <si>
    <t>of the date of its execution by the Taxpayer/Applicant.</t>
  </si>
  <si>
    <t>The syndication of the tax credits requested by the Syndicator has been or will be (check one):</t>
  </si>
  <si>
    <t>Publicly Offered*</t>
  </si>
  <si>
    <t>Signature</t>
  </si>
  <si>
    <t xml:space="preserve">Activity  </t>
  </si>
  <si>
    <t>Date</t>
  </si>
  <si>
    <t>(mm/dd/yyyy)</t>
  </si>
  <si>
    <t>which is ten years prior to the calendar year in which Taxpayer is seeking an award of tax credits</t>
  </si>
  <si>
    <t>to the date the building was or will be acquired by Taxpayer:</t>
  </si>
  <si>
    <t>Owners</t>
  </si>
  <si>
    <t>Purchase Price</t>
  </si>
  <si>
    <t xml:space="preserve">III. </t>
  </si>
  <si>
    <t xml:space="preserve">Do any of the previous owners bear a relationship to the Taxpayer specified in Section 267(b) or </t>
  </si>
  <si>
    <t>Specify items which vary from terms contained in the later of the certifications in the Taxpayer's Application</t>
  </si>
  <si>
    <t xml:space="preserve">Section 707(b)(1) of the Internal Revenue Code of 1986, as amended, after substituting 5% for 50% in </t>
  </si>
  <si>
    <t xml:space="preserve">     Other Administrative</t>
  </si>
  <si>
    <t>Percentage Interest in Taxpayer to be Acquired by Syndicator:</t>
  </si>
  <si>
    <t>Percentage Interest in Taxpayer to be Retained by Sponsor/Developer:</t>
  </si>
  <si>
    <t>Amount of Tax Credits Specified in Commitment:</t>
  </si>
  <si>
    <t>Syndication Proceeds Generated by Syndicator (Prior to Subtraction</t>
  </si>
  <si>
    <t xml:space="preserve"> of Syndication Costs):</t>
  </si>
  <si>
    <t>Gross Equity to be invested in Taxpayer by Syndicator:</t>
  </si>
  <si>
    <t>Projected Need by Unit Size for New Units in Area</t>
  </si>
  <si>
    <t>Need by Unit Size for Units at 50% AMI</t>
  </si>
  <si>
    <t>Need by Unit Size for Units at 60% AMI</t>
  </si>
  <si>
    <t>Efficiency</t>
  </si>
  <si>
    <t>1 BR</t>
  </si>
  <si>
    <t>2 BR</t>
  </si>
  <si>
    <t>3 BR</t>
  </si>
  <si>
    <t>4 BR</t>
  </si>
  <si>
    <t xml:space="preserve">Witness my signature on this day, the </t>
  </si>
  <si>
    <t>day of</t>
  </si>
  <si>
    <t>PRIORITY DEVELOPMENT AREAS AND OTHER PREFERENCES (All That Apply)</t>
  </si>
  <si>
    <t>Internal Revenue Code of 1986, as amended (the "Code") (substitute 10% for 50% in Sections</t>
  </si>
  <si>
    <t>267(b) and 179(b)(n)):</t>
  </si>
  <si>
    <t xml:space="preserve">II. </t>
  </si>
  <si>
    <t>Specify all previous owners of and the purchase price with respect to the building from the January</t>
  </si>
  <si>
    <t>(3)</t>
  </si>
  <si>
    <t>(4)</t>
  </si>
  <si>
    <t>(5)</t>
  </si>
  <si>
    <t>Related Affiliates, Employees, Consultants, Etc.:</t>
  </si>
  <si>
    <t>NET OPERATING INCOME:</t>
  </si>
  <si>
    <t>Replacement Reserves</t>
  </si>
  <si>
    <t>ADJUSTED NET OPERATING INCOME</t>
  </si>
  <si>
    <t>DEBT SERVICE</t>
  </si>
  <si>
    <t>FIRST MORTGAGE DEBT SERVICE:</t>
  </si>
  <si>
    <t>SECOND MORTGAGE DEBT SERVICE:</t>
  </si>
  <si>
    <t>Advance to related parties</t>
  </si>
  <si>
    <t>CASH FLOW AVAILABLE</t>
  </si>
  <si>
    <t>Gross Tax Credit Equity</t>
  </si>
  <si>
    <t xml:space="preserve">     3:</t>
  </si>
  <si>
    <t xml:space="preserve">     4:</t>
  </si>
  <si>
    <t>Architect's Fee - Design</t>
  </si>
  <si>
    <t>Architect's Fee - Supervisory</t>
  </si>
  <si>
    <t>Interest During Construction</t>
  </si>
  <si>
    <t>Net Equity</t>
  </si>
  <si>
    <t>Total Tax Credit  Points:</t>
  </si>
  <si>
    <t>HOME MORTGAGE</t>
  </si>
  <si>
    <t>(i)  Section 8</t>
  </si>
  <si>
    <t>TDC per Unit Calculation</t>
  </si>
  <si>
    <t>Per unit</t>
  </si>
  <si>
    <t xml:space="preserve">Total Admin. Less Management Fee: </t>
  </si>
  <si>
    <t>Total Admin. Exps.:</t>
  </si>
  <si>
    <t xml:space="preserve">Utilities Expense </t>
  </si>
  <si>
    <t xml:space="preserve">*  Compute Net Equity by (i) compounding Installments from Part II above in advance of the </t>
  </si>
  <si>
    <t>Location Issues</t>
  </si>
  <si>
    <t>Will Project qualify as a Qualified Gulf Opportunity Zone Property?</t>
  </si>
  <si>
    <t>FAIR MARKET LIMIT (F/M) - TAX CREDIT RENT LIMIT (T/C)</t>
  </si>
  <si>
    <t>Builder's Profit</t>
  </si>
  <si>
    <t xml:space="preserve">Miscellaneous </t>
  </si>
  <si>
    <t>Bond Premium</t>
  </si>
  <si>
    <t>Other Fees Paid by Contractor</t>
  </si>
  <si>
    <t>TOTAL HARD COSTS</t>
  </si>
  <si>
    <t>Rehab Escrow Requirements</t>
  </si>
  <si>
    <t>TOTAL REHABILITATION COSTS</t>
  </si>
  <si>
    <t>Totals</t>
  </si>
  <si>
    <t>Enter Physical Needs Description Below:</t>
  </si>
  <si>
    <t>Annual Reserve (R4R) Deposit from Property Cash Flow</t>
  </si>
  <si>
    <t>Indicators of Reserve Inadequacy</t>
  </si>
  <si>
    <t>Year of Requirement:</t>
  </si>
  <si>
    <t xml:space="preserve">   Plumbing Systems</t>
  </si>
  <si>
    <t xml:space="preserve">   Supply/Waste Lines</t>
  </si>
  <si>
    <t xml:space="preserve">   Water Heaters</t>
  </si>
  <si>
    <t xml:space="preserve">   Boiler, gas fired</t>
  </si>
  <si>
    <t xml:space="preserve">   Boiler, room valves</t>
  </si>
  <si>
    <t xml:space="preserve">   Washers/Dryers</t>
  </si>
  <si>
    <t xml:space="preserve">   Toilets</t>
  </si>
  <si>
    <t xml:space="preserve">   Vanities w/sinks</t>
  </si>
  <si>
    <t xml:space="preserve">   Wall-mounted sinks</t>
  </si>
  <si>
    <t xml:space="preserve">   Tubs w/ shower walls</t>
  </si>
  <si>
    <t xml:space="preserve">   Disposals</t>
  </si>
  <si>
    <t xml:space="preserve">   Roofs</t>
  </si>
  <si>
    <t xml:space="preserve">   Roofs, built-up</t>
  </si>
  <si>
    <t xml:space="preserve">Certification regarding Debarment, Suspension, </t>
  </si>
  <si>
    <t xml:space="preserve">Ineligibility and Voluntary Exclusion- Lower Tier </t>
  </si>
  <si>
    <t>Covered Transactions.</t>
  </si>
  <si>
    <t>The applicant certifies, by submission of this</t>
  </si>
  <si>
    <t>MOREHOUSE</t>
  </si>
  <si>
    <t>NATCHITOCHES</t>
  </si>
  <si>
    <t>ORLEANS</t>
  </si>
  <si>
    <t>OUACHITA</t>
  </si>
  <si>
    <t>PLAQUEMINES</t>
  </si>
  <si>
    <t>POINTE COUPEE</t>
  </si>
  <si>
    <t>RAPIDES</t>
  </si>
  <si>
    <t>RED RIVER</t>
  </si>
  <si>
    <t>RICHLAND</t>
  </si>
  <si>
    <t>SABINE</t>
  </si>
  <si>
    <t>ST. BERNARD</t>
  </si>
  <si>
    <t>ST. CHARLES</t>
  </si>
  <si>
    <t>ST. HELENA</t>
  </si>
  <si>
    <t>ST. JAMES</t>
  </si>
  <si>
    <t>ST. JOHN</t>
  </si>
  <si>
    <t>ST. LANDRY</t>
  </si>
  <si>
    <t>ST. MARTIN</t>
  </si>
  <si>
    <t>ST. MARY</t>
  </si>
  <si>
    <t>ST. TAMMANY</t>
  </si>
  <si>
    <t>TANGIPAHOA</t>
  </si>
  <si>
    <t>TENSAS</t>
  </si>
  <si>
    <t>TERREBONNE</t>
  </si>
  <si>
    <t>UNION</t>
  </si>
  <si>
    <t>Total Syndication Costs as a Percentage of Syndication Proceeds (I/E):*</t>
  </si>
  <si>
    <t>Total Syndication Proceeds Available  (F-H):</t>
  </si>
  <si>
    <t>________________</t>
  </si>
  <si>
    <t>* If syndication is public, may not exceed 15%.  If syndication is private, may not exceed 10%.</t>
  </si>
  <si>
    <t>Disbursement of Gross Equity by Installment:</t>
  </si>
  <si>
    <t>Private Mortgage Insurance</t>
  </si>
  <si>
    <t>Letters of Credit</t>
  </si>
  <si>
    <t xml:space="preserve">* All amounts must relate solely to the Syndication and must be amounts specifically approved and paid by </t>
  </si>
  <si>
    <t>the Syndicator.  No amounts should be shown without specifying the name of a payee and no amounts shown may be</t>
  </si>
  <si>
    <t>paid by the Taxpayer or Developer.</t>
  </si>
  <si>
    <t>VI.</t>
  </si>
  <si>
    <t>Number of  2BR Units Per Building</t>
  </si>
  <si>
    <t>Number of  3BR Units Per Building</t>
  </si>
  <si>
    <t>Number of  4BR Units Per Building</t>
  </si>
  <si>
    <t>Number of  5BR Units Per Building</t>
  </si>
  <si>
    <t xml:space="preserve">   Is this a Bond-Financed deal ?</t>
  </si>
  <si>
    <t xml:space="preserve">   Washer/Dryer Hook Ups:</t>
  </si>
  <si>
    <t>Threshold Requirements</t>
  </si>
  <si>
    <t>Threshold Requirements from QAP</t>
  </si>
  <si>
    <t>Many requirements formerly evaluated as part of the point-based competitive review
section are now included as threshold items. Unless noted otherwise, projects with taxexempt bond financing must also meet all threshold requirements to receive Tax Credits. Due to the current timeline, all applications must be complete upon submission.There will not be a threshold review report provided to the applicants.</t>
  </si>
  <si>
    <t>1. Site Control: Site control documentation in the form of either a fully executed
purchase agreement, an option to purchase or a valid title in the name of the
taxpayer or developer.</t>
  </si>
  <si>
    <t>4. Environmental Review: All projects involving use of existing structures must
submit an Environmental Restrictions Checklist completed by a professional
licensed to conduct environmental testing. Any finding that environmental
hazards exist must be mitigated or abated in accordance with an Operating and
Maintenance plan that addresses how each hazardous material or condition will
be addressed, including the training of on-site personnel in accordance with
applicable local, State and Federal laws or regulations.</t>
  </si>
  <si>
    <t xml:space="preserve">3. Infrastructure: Evidence of essential infrastructure and proximity to other
services:
</t>
  </si>
  <si>
    <t xml:space="preserve">6. Minimum Internet/Cable Capacity Requirements: All units must be equipped
with networks to provide cable television, telephone and internet access in the
living area and each bedroom. </t>
  </si>
  <si>
    <t>Is there any evidence or indication of ACM insulation or fire retardant materials such as boiler or pipe wrap, ceiling spray, etc., within the buildings on the property? If yes, the property is required to have an Operations and Maintenance Plan for asbes</t>
  </si>
  <si>
    <t>Lead Based Paint</t>
  </si>
  <si>
    <t>Are there residential structures on the property that were built prior to 1978?</t>
  </si>
  <si>
    <t>If yes, has the property been certified as lead-free?</t>
  </si>
  <si>
    <t>If property has not been certified as lead-free, has a Risk Assessment been completed?</t>
  </si>
  <si>
    <t>If yes, has the owner developed a plan including Interim Controls to address the findings of the Risk Assessment including Tenant notifications and an Operations and Maintenance Plan?</t>
  </si>
  <si>
    <t>If yes, has a qualified Risk Assessor reviewed the Owner's plan and O&amp;M plan for compliance with 24 CFR 35?</t>
  </si>
  <si>
    <t>EASEMENT AND USE RESTRICTIONS</t>
  </si>
  <si>
    <t>Are there easements, deed restrictions or other use restrictions on this property? (e.g. oil and gas well pumping, transformer boxes, units, navigation, microwave, rights of way (ROW), for high-voltage power transmission lines, interstate/intrastate gas a</t>
  </si>
  <si>
    <t>FOR YES RESPONSES, SUMMARIZE RESTRICTIONS BELOW</t>
  </si>
  <si>
    <t>WestCarroll</t>
  </si>
  <si>
    <t>Maturity Date:</t>
  </si>
  <si>
    <t>Interest Rate:</t>
  </si>
  <si>
    <t>Amortization Period (Years):</t>
  </si>
  <si>
    <t>Salutation:</t>
  </si>
  <si>
    <t>CEO Notification Letter Information 2</t>
  </si>
  <si>
    <t>CEO Notification Letter Information 3</t>
  </si>
  <si>
    <t>ENVIRONMENTAL RESTRICTIONS CHECKLIST</t>
  </si>
  <si>
    <t>Project Location:</t>
  </si>
  <si>
    <t>(street)</t>
  </si>
  <si>
    <t>(city)</t>
  </si>
  <si>
    <t>(county)</t>
  </si>
  <si>
    <t>(state)</t>
  </si>
  <si>
    <t>(zip)</t>
  </si>
  <si>
    <t>Owner Name:</t>
  </si>
  <si>
    <t>Project Description:</t>
  </si>
  <si>
    <t>Environmental Review Findings</t>
  </si>
  <si>
    <t>FLOOD PLAIN</t>
  </si>
  <si>
    <t>Is the project located in a FEMA Special Flood Hazard Area? (Current flood plain maps should be found in a each HUD field office or call FEMA at 1-800-358-9619, and FEMA's website URL is www.fema.gov/mit/tsd)</t>
  </si>
  <si>
    <t>Identify Map Panel and Date</t>
  </si>
  <si>
    <t>Does the project currently carry Flood Insurance?</t>
  </si>
  <si>
    <t>Do any structures appear to be within or close to the floodplain? (If yes, then flood insurance is required.)</t>
  </si>
  <si>
    <t>HISTORIC PRESERVATION (If yes, identify relevant restrictions below.)</t>
  </si>
  <si>
    <t>Is the property listed in the National Register of Historic Places?</t>
  </si>
  <si>
    <t>Is the property located in a historic district listed in the National Register of Historic Places?</t>
  </si>
  <si>
    <t>Is the property located in a historic district determi8ned to be eligible for the National Register?</t>
  </si>
  <si>
    <t>AIRPORT HAZARDS</t>
  </si>
  <si>
    <t>Is the project located in the clear zone of an airport? (24 CFR Part 51 D.  If yes, Notice is required.)</t>
  </si>
  <si>
    <t>HAZARDOUS OPERATIONS</t>
  </si>
  <si>
    <t>Is there any evidence or indication of manufacturing operations utilizing or producing hazardous substances (paints, solvents, acides, bases, flammable materials, compressed gases, poisons, or other chemical materials) at or in close proximity to the site</t>
  </si>
  <si>
    <t>Is there any evidence or indication that past operations located in or in close proximity to the property used hazardous substances or radiological materials that may have been released into the environment?</t>
  </si>
  <si>
    <t>EXPLOSIVE/FLAMMABLE OPERATIONS/STORAGE (24 CFR Part 51C)</t>
  </si>
  <si>
    <t>Is there visual evidence or indicators of unobstructed or unshielded above ground storage tanks (fuel oil, gasoline, propane, etc.) or operations utilizing explosive/flammable material at or in close proximity to the property?</t>
  </si>
  <si>
    <t>The Taxpayer hereby certifies that the project can be completed and operated within the development schedule and budget set forth in the Application.</t>
  </si>
  <si>
    <t xml:space="preserve">Reasonably repaid at Term of First Mortgage: </t>
  </si>
  <si>
    <t>WFeliciana</t>
  </si>
  <si>
    <t>EBaton Rouge</t>
  </si>
  <si>
    <t>ECarroll</t>
  </si>
  <si>
    <t>EFeliciana</t>
  </si>
  <si>
    <t>Permitted Credit in Configuration</t>
  </si>
  <si>
    <t>Homeless Basis Adjustment (2)</t>
  </si>
  <si>
    <t xml:space="preserve">a)  </t>
  </si>
  <si>
    <t xml:space="preserve">b)  </t>
  </si>
  <si>
    <t xml:space="preserve">non-qualified non-recourse loans; </t>
  </si>
  <si>
    <t xml:space="preserve">c)  </t>
  </si>
  <si>
    <t xml:space="preserve">d)  </t>
  </si>
  <si>
    <t>basis allocable to expenditures elected under Section 167(k); or</t>
  </si>
  <si>
    <t xml:space="preserve">   Roofs, membrane</t>
  </si>
  <si>
    <t xml:space="preserve">   Roofs, metal</t>
  </si>
  <si>
    <t xml:space="preserve">   Fire Suppression</t>
  </si>
  <si>
    <t xml:space="preserve">   Sprinkler system</t>
  </si>
  <si>
    <t xml:space="preserve">   Life and Safety</t>
  </si>
  <si>
    <t xml:space="preserve">   Elevator &amp; Vert. Trans.</t>
  </si>
  <si>
    <t xml:space="preserve">   Elevator controller</t>
  </si>
  <si>
    <t xml:space="preserve">   Elevator cab</t>
  </si>
  <si>
    <t xml:space="preserve">   Elevator, machinery</t>
  </si>
  <si>
    <t xml:space="preserve">   Elevator, shaft doors</t>
  </si>
  <si>
    <t xml:space="preserve">   Elevator, shaftways</t>
  </si>
  <si>
    <t xml:space="preserve">   ADA</t>
  </si>
  <si>
    <t xml:space="preserve">Miscellaneous Concessions- </t>
  </si>
  <si>
    <t>Total Vacancies:</t>
  </si>
  <si>
    <t>Net Rental Income:</t>
  </si>
  <si>
    <t xml:space="preserve">Other Income &amp; Bad Debt </t>
  </si>
  <si>
    <t xml:space="preserve">Laundry &amp; Vending- </t>
  </si>
  <si>
    <r>
      <t xml:space="preserve">Apartment Bad Debt-  </t>
    </r>
    <r>
      <rPr>
        <b/>
        <sz val="8"/>
        <rFont val="Times New Roman"/>
        <family val="1"/>
      </rPr>
      <t>Enter as Neg.</t>
    </r>
  </si>
  <si>
    <r>
      <t xml:space="preserve">Commercial Bad Debt-  </t>
    </r>
    <r>
      <rPr>
        <b/>
        <sz val="8"/>
        <rFont val="Times New Roman"/>
        <family val="1"/>
      </rPr>
      <t>Enter as Neg.</t>
    </r>
  </si>
  <si>
    <t xml:space="preserve">NSF, Damages &amp; Late Charges, Other- </t>
  </si>
  <si>
    <t>Name of Lender or Source of Funds</t>
  </si>
  <si>
    <t>Amount of Funds</t>
  </si>
  <si>
    <t>Annual Debt Service Cost</t>
  </si>
  <si>
    <t>Interest Rate of Loan</t>
  </si>
  <si>
    <t>Amortization Period</t>
  </si>
  <si>
    <t xml:space="preserve">1.  </t>
  </si>
  <si>
    <t xml:space="preserve">2.  </t>
  </si>
  <si>
    <t xml:space="preserve">3.  </t>
  </si>
  <si>
    <t xml:space="preserve">4.  </t>
  </si>
  <si>
    <t xml:space="preserve">5.  </t>
  </si>
  <si>
    <t>Maximum rents allowable</t>
  </si>
  <si>
    <t xml:space="preserve">   Zip Code:</t>
  </si>
  <si>
    <t xml:space="preserve">   Project Parish:</t>
  </si>
  <si>
    <t xml:space="preserve">   Congressional District:</t>
  </si>
  <si>
    <t xml:space="preserve">   Taxpayer Name: </t>
  </si>
  <si>
    <t xml:space="preserve">   Taxpayer City, State &amp; Zip:</t>
  </si>
  <si>
    <t xml:space="preserve">   Taxpayer Contact:</t>
  </si>
  <si>
    <t xml:space="preserve">   Contact Phone Number:</t>
  </si>
  <si>
    <t xml:space="preserve">   Contact Fax Number:</t>
  </si>
  <si>
    <t xml:space="preserve">   E-Mail Address:</t>
  </si>
  <si>
    <t xml:space="preserve">   Maximum Tax Credits Requested:</t>
  </si>
  <si>
    <t>LOCATION CHARACTERISTICS</t>
  </si>
  <si>
    <t>IV</t>
  </si>
  <si>
    <t>II</t>
  </si>
  <si>
    <t xml:space="preserve">Neighborhood Features </t>
  </si>
  <si>
    <t>Points Gained*:   (maximum of 10 Points)</t>
  </si>
  <si>
    <t xml:space="preserve">Grocery Store </t>
  </si>
  <si>
    <t>Pharmacy/Drug Store</t>
  </si>
  <si>
    <t>Public Library</t>
  </si>
  <si>
    <t>Bank/Credit Union</t>
  </si>
  <si>
    <t>Post Office</t>
  </si>
  <si>
    <t xml:space="preserve">Junk yard/dump </t>
  </si>
  <si>
    <t>Salvage yard</t>
  </si>
  <si>
    <t>Wastewater treatment facility</t>
  </si>
  <si>
    <t>Electrical utility substations</t>
  </si>
  <si>
    <t>Adult entertainment/ video/ theater</t>
  </si>
  <si>
    <t>Pig/chicken farm</t>
  </si>
  <si>
    <t>Processing plants</t>
  </si>
  <si>
    <t>Industrial</t>
  </si>
  <si>
    <t xml:space="preserve">Airports </t>
  </si>
  <si>
    <t>Liquor Store</t>
  </si>
  <si>
    <t>Prisons</t>
  </si>
  <si>
    <t>Solid waste disposal</t>
  </si>
  <si>
    <t>Taxes During Construction</t>
  </si>
  <si>
    <t>Insurance During Construction</t>
  </si>
  <si>
    <t>Financing Fee (Construction)</t>
  </si>
  <si>
    <t>Financing Fee (Permanent)</t>
  </si>
  <si>
    <t>Title and Recording Costs</t>
  </si>
  <si>
    <t>Organization Costs</t>
  </si>
  <si>
    <t>Lender Legal Fees</t>
  </si>
  <si>
    <t>Taxpayer Counsel Fees</t>
  </si>
  <si>
    <t>Survey Costs</t>
  </si>
  <si>
    <t>Reserve for Replacement</t>
  </si>
  <si>
    <t>Lease-Up Reserves</t>
  </si>
  <si>
    <t>Operating Reserves</t>
  </si>
  <si>
    <t>Land Only</t>
  </si>
  <si>
    <t>Buildings Only</t>
  </si>
  <si>
    <t>Demolition</t>
  </si>
  <si>
    <t>Temporary Contraction Loan Pay off</t>
  </si>
  <si>
    <t>(Non-profit) is not affiliated with or controlled by a for-profit organization.</t>
  </si>
  <si>
    <t xml:space="preserve">     Total Utility Expense</t>
  </si>
  <si>
    <t xml:space="preserve">     Total O&amp;M Expense</t>
  </si>
  <si>
    <t xml:space="preserve">     All other Taxes &amp; Insurance</t>
  </si>
  <si>
    <t>CashFlow</t>
  </si>
  <si>
    <t>1st Mortgage</t>
  </si>
  <si>
    <t>All Debt</t>
  </si>
  <si>
    <t>Inflation</t>
  </si>
  <si>
    <t>Rate</t>
  </si>
  <si>
    <t>Break Even Analysis</t>
  </si>
  <si>
    <t>Break - Even Cashflow Ratio</t>
  </si>
  <si>
    <t>TAXPAYER/APPLICANT CERTIFICATION</t>
  </si>
  <si>
    <t>Features &amp; Amenities:</t>
  </si>
  <si>
    <t>Features</t>
  </si>
  <si>
    <t>Amenities</t>
  </si>
  <si>
    <t>Number of HOME assisted Units</t>
  </si>
  <si>
    <t>erroneous certification, in addition to other remedies</t>
  </si>
  <si>
    <t>Value of land or other real property (less any debt burden,</t>
  </si>
  <si>
    <t>lien or other encumbrance) not acquired with federal</t>
  </si>
  <si>
    <t>resources</t>
  </si>
  <si>
    <t>Investments within prior 10 months from non-federal resources in</t>
  </si>
  <si>
    <t>on-site and off-site infrastructure directly required for affordable</t>
  </si>
  <si>
    <t>housing assistance with HOME Funds.</t>
  </si>
  <si>
    <t>Reasonable value of any site preparation and construction materials not acquired</t>
  </si>
  <si>
    <t>with federal resources and any donated or voluntary laborin connection with the</t>
  </si>
  <si>
    <t>Total Cost:</t>
  </si>
  <si>
    <t>Outstanding Balance:</t>
  </si>
  <si>
    <t>Site Area:</t>
  </si>
  <si>
    <t>Square Feet</t>
  </si>
  <si>
    <t>Cost/S.F.:</t>
  </si>
  <si>
    <t>Date of Purchase:</t>
  </si>
  <si>
    <t xml:space="preserve">C. </t>
  </si>
  <si>
    <t>Option Information</t>
  </si>
  <si>
    <t>Option Price:</t>
  </si>
  <si>
    <t>Date of Option:</t>
  </si>
  <si>
    <t xml:space="preserve">D. </t>
  </si>
  <si>
    <t>Lease Information</t>
  </si>
  <si>
    <t>Amount Paid for Leasehold Interest:</t>
  </si>
  <si>
    <t>available to the Federal Government, the department or</t>
  </si>
  <si>
    <t>pursue available remedies, including suspension and/or</t>
  </si>
  <si>
    <t>debarment.</t>
  </si>
  <si>
    <t>The applicant shall provide immediate written</t>
  </si>
  <si>
    <t>notice to the person to which this proposal is submitted</t>
  </si>
  <si>
    <t>if at any time the applicant learns that its certification</t>
  </si>
  <si>
    <t xml:space="preserve">was erroneous when submitted or has become erroneous </t>
  </si>
  <si>
    <t>by reason of changed circumstances.</t>
  </si>
  <si>
    <t>The terms "covered transaction," "debarred,</t>
  </si>
  <si>
    <t>"suspended," "ineligible," "lower tier covered transac-</t>
  </si>
  <si>
    <t>tion," "participant," "person," "primary covered trans-</t>
  </si>
  <si>
    <t>Project Schedule</t>
  </si>
  <si>
    <t>Development Team</t>
  </si>
  <si>
    <t>Eligible Capital for Capital Recovery Payment</t>
  </si>
  <si>
    <t>site preparation for or construction or rehabilitation of affordable housing.</t>
  </si>
  <si>
    <t xml:space="preserve">     Date: </t>
  </si>
  <si>
    <t xml:space="preserve">Section 267(b) and Section 707(b)(1) and does not have any identity of interest with any member of the </t>
  </si>
  <si>
    <t>WITNESS my signature on this, the ____ day of ________________, ______.</t>
  </si>
  <si>
    <t xml:space="preserve">   Project Name:</t>
  </si>
  <si>
    <t>or in the certifications as of the Allocation/Reservation of tax credits:</t>
  </si>
  <si>
    <t>Application/Reservation Date</t>
  </si>
  <si>
    <t>New Construction/Conversions Elevated</t>
  </si>
  <si>
    <t>New Construction/Conversions Non Elevated</t>
  </si>
  <si>
    <t>Selected per unit expense adequate (&gt;=$3,600)?</t>
  </si>
  <si>
    <t>V</t>
  </si>
  <si>
    <t>PROJECT CHARACTERISTICS</t>
  </si>
  <si>
    <t xml:space="preserve">Washers and dryers are installed and maintained in every unit </t>
  </si>
  <si>
    <t xml:space="preserve">Dishwashers maintained in each unit </t>
  </si>
  <si>
    <t xml:space="preserve">Disposals maintained in each unit </t>
  </si>
  <si>
    <t xml:space="preserve">e)  </t>
  </si>
  <si>
    <t>(1)</t>
  </si>
  <si>
    <t>(2)</t>
  </si>
  <si>
    <t>amount of grants funding eligible basis (see Section 42(d)(5)(A) );</t>
  </si>
  <si>
    <t>historic credits related to rehabilitation (see Section 42(d)(5)(B) ).</t>
  </si>
  <si>
    <t>should be reduced in accordance with the following:</t>
  </si>
  <si>
    <t>LEVERAGE, EFFICIENCY AND VIABILITY</t>
  </si>
  <si>
    <t xml:space="preserve">   Qualified Census Tract/DDA Location:</t>
  </si>
  <si>
    <t>sheet with additional information if necessary.</t>
  </si>
  <si>
    <t>Project Name and Location</t>
  </si>
  <si>
    <t xml:space="preserve">The undersigned duly authorized representative of the Developer/Taxpayer hereby certifies under penalty of </t>
  </si>
  <si>
    <t>Adjusted Eligible Basis in Configuration</t>
  </si>
  <si>
    <t>QCT Eligible Basis Per in Configuration</t>
  </si>
  <si>
    <t>Applicable Fraction</t>
  </si>
  <si>
    <t>Unadjusted Qualified Basis in Configuration</t>
  </si>
  <si>
    <t>Qualified Basis in Configuration</t>
  </si>
  <si>
    <t>WestBR</t>
  </si>
  <si>
    <t>Average Square Feet of Individual Units</t>
  </si>
  <si>
    <t>Tenant Income &lt;= 20%</t>
  </si>
  <si>
    <t>Tenant Income &gt;20&lt;=30%</t>
  </si>
  <si>
    <t>Tenant Income &gt;30&lt;=40%</t>
  </si>
  <si>
    <t xml:space="preserve">   Site Utilities</t>
  </si>
  <si>
    <t xml:space="preserve">   Site Improvements</t>
  </si>
  <si>
    <t xml:space="preserve">   Topography</t>
  </si>
  <si>
    <t xml:space="preserve">   Drainage</t>
  </si>
  <si>
    <t xml:space="preserve">   Parking Lot- asphalt</t>
  </si>
  <si>
    <t xml:space="preserve">   Parking Lot- stripe</t>
  </si>
  <si>
    <t xml:space="preserve">   Parking Lot- concrete</t>
  </si>
  <si>
    <t xml:space="preserve">   Flatwork</t>
  </si>
  <si>
    <t xml:space="preserve">   Dumpster Pads</t>
  </si>
  <si>
    <t xml:space="preserve">   Landscaping</t>
  </si>
  <si>
    <t>D.  Uses</t>
  </si>
  <si>
    <t xml:space="preserve">   Amenities, pool equipment</t>
  </si>
  <si>
    <t xml:space="preserve">   Amenities, pool plaster</t>
  </si>
  <si>
    <t xml:space="preserve">   Amenities, basketball court</t>
  </si>
  <si>
    <t xml:space="preserve">   Amenities, tennis courts</t>
  </si>
  <si>
    <t xml:space="preserve">   Fences, chain link w/gates</t>
  </si>
  <si>
    <t xml:space="preserve">   Fences, wrought iron</t>
  </si>
  <si>
    <t xml:space="preserve">   Fences, post and rail</t>
  </si>
  <si>
    <t xml:space="preserve">   Fences, stockade and weave</t>
  </si>
  <si>
    <t xml:space="preserve">   Carports</t>
  </si>
  <si>
    <t xml:space="preserve">   Mail facilities</t>
  </si>
  <si>
    <t xml:space="preserve">   Exterior</t>
  </si>
  <si>
    <t xml:space="preserve">   Walls, aluminum siding</t>
  </si>
  <si>
    <t xml:space="preserve">   Walls, brick/block</t>
  </si>
  <si>
    <t xml:space="preserve">   Walls, stone veneer</t>
  </si>
  <si>
    <t xml:space="preserve">   Walls, glass block</t>
  </si>
  <si>
    <t xml:space="preserve">   Walls, granite block</t>
  </si>
  <si>
    <t xml:space="preserve">   Walls, pre-cast concrete </t>
  </si>
  <si>
    <t xml:space="preserve">   Walls, vinyl</t>
  </si>
  <si>
    <t xml:space="preserve">   Walls, plywood (T1-11)</t>
  </si>
  <si>
    <t xml:space="preserve">   Walls, stucco</t>
  </si>
  <si>
    <t xml:space="preserve">   Windows, frames &amp; glazing</t>
  </si>
  <si>
    <t xml:space="preserve">   Doors, solid core</t>
  </si>
  <si>
    <t xml:space="preserve">   Doors, sliding doors</t>
  </si>
  <si>
    <t xml:space="preserve">   Doors, screen doors</t>
  </si>
  <si>
    <t>(iii) State PBA</t>
  </si>
  <si>
    <t>(ii)  RD/RA</t>
  </si>
  <si>
    <t>from participation in this covered transaction, unless</t>
  </si>
  <si>
    <t>The applicant further agrees by submitting this</t>
  </si>
  <si>
    <t>Placed-in-Service Date</t>
  </si>
  <si>
    <t>Land Costs</t>
  </si>
  <si>
    <t>Historic Rehabilitation Credits:</t>
  </si>
  <si>
    <t>Information Concerning Syndicator</t>
  </si>
  <si>
    <t>Tenant Based</t>
  </si>
  <si>
    <t>Specify all operating and/or credit guarantees required by Syndicator:</t>
  </si>
  <si>
    <t>Attach evidence of syndication from Syndicator.</t>
  </si>
  <si>
    <t>C.  Subsidies</t>
  </si>
  <si>
    <t>The following constitutes the full extent of all Federal, State and local subsidies which apply (or which the</t>
  </si>
  <si>
    <t>Taxpayer expects to apply) with respect to the Project as of the date the reservation/allocation of tax credits</t>
  </si>
  <si>
    <t>Beginning Balance</t>
  </si>
  <si>
    <t xml:space="preserve">Increase in Reserve Deposits: </t>
  </si>
  <si>
    <t>Development Costs</t>
  </si>
  <si>
    <t>Cost</t>
  </si>
  <si>
    <t>Masonry</t>
  </si>
  <si>
    <t>Acoustical</t>
  </si>
  <si>
    <t>Specialties</t>
  </si>
  <si>
    <t>Prior</t>
  </si>
  <si>
    <t>Audit</t>
  </si>
  <si>
    <t>First Year Reserve Deposit:</t>
  </si>
  <si>
    <t>Reserve Balance Floor:</t>
  </si>
  <si>
    <t>Inflated Annual PCA Needs</t>
  </si>
  <si>
    <t>Reserves for Replacement Schedule</t>
  </si>
  <si>
    <t>Year of Requirement</t>
  </si>
  <si>
    <t>Cost of Rehabilitation</t>
  </si>
  <si>
    <t>Total 20-Year</t>
  </si>
  <si>
    <t>Needs</t>
  </si>
  <si>
    <t>Concrete</t>
  </si>
  <si>
    <t>Metals</t>
  </si>
  <si>
    <t>Rough Carpentry</t>
  </si>
  <si>
    <t>Finish Carpentry</t>
  </si>
  <si>
    <t>Amount of Interim Loan:</t>
  </si>
  <si>
    <t>Estimate Total Interest Payments:</t>
  </si>
  <si>
    <t>Security for Interim Funds:</t>
  </si>
  <si>
    <t>2. Name:</t>
  </si>
  <si>
    <t>EVANGELINE</t>
  </si>
  <si>
    <t>FRANKLIN</t>
  </si>
  <si>
    <t>GRANT</t>
  </si>
  <si>
    <t>IBERIA</t>
  </si>
  <si>
    <t>IBERVILLE</t>
  </si>
  <si>
    <t>JACKSON</t>
  </si>
  <si>
    <t>JEFFERSON</t>
  </si>
  <si>
    <t>JEFFERSON DAVIS</t>
  </si>
  <si>
    <t>LAFAYETTE</t>
  </si>
  <si>
    <t>LAFOURCHE</t>
  </si>
  <si>
    <t>LASALLE</t>
  </si>
  <si>
    <t>LINCOLN</t>
  </si>
  <si>
    <t>LIVINGSTON</t>
  </si>
  <si>
    <t>MADISON</t>
  </si>
  <si>
    <t>Other (Explain)</t>
  </si>
  <si>
    <t xml:space="preserve">   Occupancy Type</t>
  </si>
  <si>
    <t>NP/CHDO</t>
  </si>
  <si>
    <t>Rural</t>
  </si>
  <si>
    <t>General</t>
  </si>
  <si>
    <t>(2) Market Area: A briefer Description of the Market (e.g. Bunkie City Limits)</t>
  </si>
  <si>
    <t xml:space="preserve">Non-Profit  </t>
  </si>
  <si>
    <t>(Non-profit) and all potential participants intend that (non-profit) will own an interest in the Project either directly or through a partnership (which partnership has yet been formed).</t>
  </si>
  <si>
    <t>(Non-profit) and all potential participants intend that (non-profit) will materially participate (within the meaning of Section 469(h)) in the Project and operation of the Project throughout the compliance period.</t>
  </si>
  <si>
    <t>It is our intention that this opinion be relied upon by you in making your determination as to the eligibility of the Project to receive Low-Income Housing Tax Credits from the Non-profit Set-Aside.</t>
  </si>
  <si>
    <t>/s/</t>
  </si>
  <si>
    <t>This agreement indicates the (PHA) willingness to refer qualified tenants to be housed in .  Further, this agreement acknowledges  desires to enter into a referral agreement and to accept tenants referred by (PHA).</t>
  </si>
  <si>
    <t>Unadjusted Qualified Con. Basis Per Building</t>
  </si>
  <si>
    <t>Acquisition UQB per Building</t>
  </si>
  <si>
    <t>Acquisition QCT EB Per Building</t>
  </si>
  <si>
    <t>Adjusted Eligible Const. Basis Per Building</t>
  </si>
  <si>
    <t>QCT Eligible Const. Basis Per Building</t>
  </si>
  <si>
    <t>Acquisition AEB Per Building</t>
  </si>
  <si>
    <t>Eligible Construction Basis Per Building</t>
  </si>
  <si>
    <t>determined that the applicant knowingly rendered an</t>
  </si>
  <si>
    <t>Zoning</t>
  </si>
  <si>
    <t>Non Profit Participation</t>
  </si>
  <si>
    <t>The Gross Equity will be invested in the Taxpayer by the Syndicator in the following installments:</t>
  </si>
  <si>
    <t>Projected</t>
  </si>
  <si>
    <t>Event</t>
  </si>
  <si>
    <t xml:space="preserve">   Date   </t>
  </si>
  <si>
    <t>Percentage</t>
  </si>
  <si>
    <t>Installment</t>
  </si>
  <si>
    <t>pv</t>
  </si>
  <si>
    <t>1)</t>
  </si>
  <si>
    <t>Enter Number of Units, non subsidized in columns C though H, market in I and  Project Based Subsidized units in K</t>
  </si>
  <si>
    <t>Maximum market rent from Market Study</t>
  </si>
  <si>
    <t>INPUT ACTUAL RENTS UNITS WITHOUT RENTAL SUBSIDIES</t>
  </si>
  <si>
    <t>New Construction</t>
  </si>
  <si>
    <t>10% OF UNIT OCCUPANCY ACHIEVED</t>
  </si>
  <si>
    <t>the Taxpayer or Developer in obtaining cash to invest in the Taxpayer:</t>
  </si>
  <si>
    <t xml:space="preserve">   When was the market study dated?</t>
  </si>
  <si>
    <t>Syndication Proceeds to be Received During Credit Period:</t>
  </si>
  <si>
    <t>Year 1:</t>
  </si>
  <si>
    <t>Year 2:</t>
  </si>
  <si>
    <t>Year 3:</t>
  </si>
  <si>
    <t>Project name entered?</t>
  </si>
  <si>
    <t>Parish indicated?</t>
  </si>
  <si>
    <t>Census tract indicated?</t>
  </si>
  <si>
    <t>Set-aside selected?</t>
  </si>
  <si>
    <t>Selected TDC per unit costs within limits?</t>
  </si>
  <si>
    <t>LIUs satisfy the set-aside selected?</t>
  </si>
  <si>
    <t>LLC</t>
  </si>
  <si>
    <t>Project Based Rental Assistance</t>
  </si>
  <si>
    <t>Mixed Income Gap Financing</t>
  </si>
  <si>
    <t>Mixed Income with 60-80% at market</t>
  </si>
  <si>
    <t>the developer has submitted a request to zone site for multi-family use and the authority does not foresee or anticipate any negative problems with respect to zoning.</t>
  </si>
  <si>
    <t>Acquisition EB Per Building</t>
  </si>
  <si>
    <t>Acquisition EBR Per Building</t>
  </si>
  <si>
    <t>Eligible Con. Basis Reduction Per Building (1)</t>
  </si>
  <si>
    <t xml:space="preserve">consultants or otherwise related to or having an identity of interest with the Developer/Taxpayer and who have </t>
  </si>
  <si>
    <t>Builder IS related to Taxpayer or General Partner</t>
  </si>
  <si>
    <t>Builder IS NOT related to Taxpayer or General Partner</t>
  </si>
  <si>
    <t>Application</t>
  </si>
  <si>
    <t>Income Statement</t>
  </si>
  <si>
    <t>Rental Income</t>
  </si>
  <si>
    <t xml:space="preserve">Residential- </t>
  </si>
  <si>
    <t>1. Developer Experience</t>
  </si>
  <si>
    <t>2. Property Management Experience</t>
  </si>
  <si>
    <t>Note that New construction information should be entered in rows 110 to 180, rehab information in rows 2 to 107</t>
  </si>
  <si>
    <t>CDBG Fees</t>
  </si>
  <si>
    <t>Costs per annum of Supportive Services per Special Needs Household or written confirmation from governmental or non-profit agency that Supportive Services will be provided to Project without cost</t>
  </si>
  <si>
    <t>Rural Area Project- (as defined in the glossary)</t>
  </si>
  <si>
    <t>Green Buildings- Statement from the architect to certify LEED, Green Communities, or National Green Building Standard ICC 700 (see glossary)</t>
  </si>
  <si>
    <t>Description of Community Facilities</t>
  </si>
  <si>
    <t>Description of Amenities</t>
  </si>
  <si>
    <t>Additional Accessible Units- Submit number, percentage and description of construction and/or equipment provided for each Accessible Unit</t>
  </si>
  <si>
    <t>On Site Security- (as defined in the glossary)</t>
  </si>
  <si>
    <r>
      <t xml:space="preserve">Developer Services Agreement; if non-profit, evidence that Qualified Non-profit or CHDO will receive at least fifty-one percent (51%) of the Developer Fee. </t>
    </r>
    <r>
      <rPr>
        <i/>
        <sz val="10"/>
        <rFont val="Times New Roman"/>
        <family val="1"/>
      </rPr>
      <t>(obtain from LHFA website)</t>
    </r>
  </si>
  <si>
    <r>
      <t xml:space="preserve">Counsel’s Opinion (obtain from counsel - or see </t>
    </r>
    <r>
      <rPr>
        <sz val="10"/>
        <color indexed="10"/>
        <rFont val="Times New Roman"/>
        <family val="1"/>
      </rPr>
      <t>Appendix 13</t>
    </r>
    <r>
      <rPr>
        <sz val="10"/>
        <rFont val="Times New Roman"/>
        <family val="1"/>
      </rPr>
      <t>)</t>
    </r>
  </si>
  <si>
    <r>
      <t>QCT/DDA-</t>
    </r>
    <r>
      <rPr>
        <sz val="10"/>
        <color indexed="10"/>
        <rFont val="Times New Roman"/>
        <family val="1"/>
      </rPr>
      <t xml:space="preserve"> </t>
    </r>
    <r>
      <rPr>
        <sz val="10"/>
        <rFont val="Times New Roman"/>
        <family val="1"/>
      </rPr>
      <t>Attach portion of Community Revitalization Plan that references project</t>
    </r>
  </si>
  <si>
    <t>SAMPLE PHA REFERRAL AGREEMENT</t>
  </si>
  <si>
    <t>Attached to and made a part hereof is a legal description of each parcel of land.</t>
  </si>
  <si>
    <t>To be Paid:</t>
  </si>
  <si>
    <t>MATCHING CERTIFICATION</t>
  </si>
  <si>
    <t>The Applicant hereby certifies that the following amounts have been or will be made available</t>
  </si>
  <si>
    <t>If Yes, specify which of the previous owners are such related persons:</t>
  </si>
  <si>
    <t xml:space="preserve">IV. </t>
  </si>
  <si>
    <t xml:space="preserve">Are any of the previous owners and the Taxpayer under common control (within the meaning of </t>
  </si>
  <si>
    <t>subsections (a) and (b) of Section 52 of the Code)?</t>
  </si>
  <si>
    <t xml:space="preserve">V. </t>
  </si>
  <si>
    <t xml:space="preserve">Is this a distressed property? </t>
  </si>
  <si>
    <t xml:space="preserve">     2nd Mortgage as Calculated</t>
  </si>
  <si>
    <t>Total Debt Service</t>
  </si>
  <si>
    <t>Debt Service Coverage Ratios</t>
  </si>
  <si>
    <t xml:space="preserve">     Total Rental Income:</t>
  </si>
  <si>
    <t xml:space="preserve">     Total Vacancy</t>
  </si>
  <si>
    <t xml:space="preserve">     Total Other Income:</t>
  </si>
  <si>
    <t xml:space="preserve">O &amp; M Expenses </t>
  </si>
  <si>
    <t xml:space="preserve">O&amp;M Payroll- </t>
  </si>
  <si>
    <t xml:space="preserve">O&amp;M Supplies- </t>
  </si>
  <si>
    <t xml:space="preserve">O&amp;M Contract- </t>
  </si>
  <si>
    <t xml:space="preserve">Garbage &amp; Trash Removal- </t>
  </si>
  <si>
    <t xml:space="preserve">Security Payroll/Contract- </t>
  </si>
  <si>
    <t xml:space="preserve">Elevator Maintenance/Contract- </t>
  </si>
  <si>
    <t xml:space="preserve">HVAC R &amp; M- </t>
  </si>
  <si>
    <t>$ Amount</t>
  </si>
  <si>
    <t>Other Sources Needed to Balance</t>
  </si>
  <si>
    <t>Total Funding Sources</t>
  </si>
  <si>
    <t>Fund Uses</t>
  </si>
  <si>
    <t>Total:</t>
  </si>
  <si>
    <t>Total Use of Funds</t>
  </si>
  <si>
    <t>Relocation Expenses</t>
  </si>
  <si>
    <t>Developer Fee</t>
  </si>
  <si>
    <t>Total Soft Costs</t>
  </si>
  <si>
    <t>Initial Deposit to Replacement Reserve</t>
  </si>
  <si>
    <t>Initial Replacement Reserve Deposit:</t>
  </si>
  <si>
    <t>Building Information</t>
  </si>
  <si>
    <t>Total Area of Residential Buildings</t>
  </si>
  <si>
    <t xml:space="preserve">Fuel Oil/Coal- </t>
  </si>
  <si>
    <t xml:space="preserve">Fuel for Domestic Hot Water- </t>
  </si>
  <si>
    <t xml:space="preserve">Electricity (Light &amp; Misc. Power)- </t>
  </si>
  <si>
    <t xml:space="preserve">Water- </t>
  </si>
  <si>
    <t xml:space="preserve">Gas- </t>
  </si>
  <si>
    <t xml:space="preserve">Sewer- </t>
  </si>
  <si>
    <t>Total Utilities Exps.:</t>
  </si>
  <si>
    <t>1st Mortgage DSCR:</t>
  </si>
  <si>
    <t>Number of Bathrooms</t>
  </si>
  <si>
    <t>$Amt</t>
  </si>
  <si>
    <t>$/Unit</t>
  </si>
  <si>
    <t>$ Amt</t>
  </si>
  <si>
    <t>Income</t>
  </si>
  <si>
    <t>Effective Gross Income (EGI)</t>
  </si>
  <si>
    <t>Expenses</t>
  </si>
  <si>
    <t xml:space="preserve">     Real Estate Taxes</t>
  </si>
  <si>
    <t>20 / 50 TEST 2011</t>
  </si>
  <si>
    <t>APPENDIX 13</t>
  </si>
  <si>
    <t>APPENDIX 40</t>
  </si>
  <si>
    <t>Congressional District</t>
  </si>
  <si>
    <t>RD Rural Rehab</t>
  </si>
  <si>
    <t>Qualified Non-Profit/CHDO</t>
  </si>
  <si>
    <t>Minimum of 51% but less than 75%</t>
  </si>
  <si>
    <t>Points Deducted*:   (No Maximum for Deductions)</t>
  </si>
  <si>
    <t xml:space="preserve">   Address of LLT project:</t>
  </si>
  <si>
    <t>Other (please describe)</t>
  </si>
  <si>
    <t xml:space="preserve">   Is this a lease-to-own project?</t>
  </si>
  <si>
    <t xml:space="preserve">   Any other owner over the last 10 calendar years?</t>
  </si>
  <si>
    <t xml:space="preserve">   Tax Credits awarded over the last 5 calendar years?</t>
  </si>
  <si>
    <t xml:space="preserve">   Is there an IOI with Contractor ?</t>
  </si>
  <si>
    <t>Fiscal Member/Partner:</t>
  </si>
  <si>
    <t>Lender:</t>
  </si>
  <si>
    <t>Construction Mortgage</t>
  </si>
  <si>
    <t>Permanent Mortgage</t>
  </si>
  <si>
    <t>I</t>
  </si>
  <si>
    <t>III</t>
  </si>
  <si>
    <t xml:space="preserve">are related to or having any identity of interest with the Developer/Taxpayer or (ii) affiliates, employees, </t>
  </si>
  <si>
    <t>and no amounts shown may be paid by the Syndicator.</t>
  </si>
  <si>
    <t>(3) The Market Study contains data and critical analysis which supports or includes the following:</t>
  </si>
  <si>
    <t>(4) The Vacancy rate of subsidized housing and market rate housing and market rents for non-subsidized housing for the market area by unit size are as follows:</t>
  </si>
  <si>
    <t>Vacancy Rate (Subsidized)</t>
  </si>
  <si>
    <t>Vacancy Rate (Market)</t>
  </si>
  <si>
    <t>Market Rents (Non Subsidized)</t>
  </si>
  <si>
    <t>11. Historic rehabilitation projects must include in their submission information
concerning minimum project requirements, including but not limited to Energy
Efficiency requirements, Design Features, Base Flood Elevation requirements
and Internet Cable requirements for consideration of applicable waivers at time
of application.</t>
  </si>
  <si>
    <t>Project Team/Developer Threshold Requirements</t>
  </si>
  <si>
    <t>Project Threshold Requirements</t>
  </si>
  <si>
    <t>3. Project Team Disqualifications</t>
  </si>
  <si>
    <t>Project  receiving Federal Funds / Federal Insurance?</t>
  </si>
  <si>
    <t>Scattered Site</t>
  </si>
  <si>
    <t>Community Facilities  (negative)</t>
  </si>
  <si>
    <t>Governmental grants/Historic syndication proceeds (negative)</t>
  </si>
  <si>
    <t xml:space="preserve">   HUD Distressed or RD Target Area?</t>
  </si>
  <si>
    <t>Syndication Costs Paid by Developer (VI.10):</t>
  </si>
  <si>
    <t>Code</t>
  </si>
  <si>
    <t>Distribution to Owner</t>
  </si>
  <si>
    <t>Owner Contribution:</t>
  </si>
  <si>
    <t>Permitted Construction Credit Per Building</t>
  </si>
  <si>
    <t>Qualified Construction Basis Per Building</t>
  </si>
  <si>
    <t>Acquisition QB Per Building</t>
  </si>
  <si>
    <t>Input in column L "Homeless Basis Adjustment" amounts</t>
  </si>
  <si>
    <t>Acquisition costs in Basis</t>
  </si>
  <si>
    <t>Credit Percentage</t>
  </si>
  <si>
    <t>Bar, Club or Lounge</t>
  </si>
  <si>
    <t>NOTE: Points may only be selected from one of the following categories: Selection Criteria Items I.D. New Construction Scattered Site Project, I.E. Non Scattered Site Rehabilitation Projects, and I.F. Scattered Site Substantial Rehabilitation or Infill Projects. No project will be allowed points from more than one of the aforementioned categories.</t>
  </si>
  <si>
    <t>Check Type:</t>
  </si>
  <si>
    <t>Distressed Property:</t>
  </si>
  <si>
    <t>Redevelopment Property:</t>
  </si>
  <si>
    <t>Owner Occupied Property with Development Plan of Action:</t>
  </si>
  <si>
    <t>Non Scattered Site Abandoned Project</t>
  </si>
  <si>
    <t>(5) The numbers of households in the market area which are income eligible and which can afford to pay tax credit rents for each unit by bedroom size are as follows:</t>
  </si>
  <si>
    <t>0-30%</t>
  </si>
  <si>
    <t>31-40%</t>
  </si>
  <si>
    <t>41-50%</t>
  </si>
  <si>
    <t>51-60%</t>
  </si>
  <si>
    <t>Household Income Levels</t>
  </si>
  <si>
    <t>(6) Based upon the Market Study's conclusions, the Project can be expected to be occupied at the percentage specified below with the number of months following the completion date as follows:</t>
  </si>
  <si>
    <t>Expected Completion Date:</t>
  </si>
  <si>
    <t>Months After Completion</t>
  </si>
  <si>
    <t>Percentage Occupancy</t>
  </si>
  <si>
    <t>Painting and Decorating</t>
  </si>
  <si>
    <t>Special Equipment</t>
  </si>
  <si>
    <t>Cabinets</t>
  </si>
  <si>
    <t>Appliances</t>
  </si>
  <si>
    <t>Blinds and Shades</t>
  </si>
  <si>
    <t>Funding Source(s) (Name of Agency, Contact Person and Phone Number)</t>
  </si>
  <si>
    <t>Project Name</t>
  </si>
  <si>
    <t>Signature:</t>
  </si>
  <si>
    <t>Name (please print):</t>
  </si>
  <si>
    <t xml:space="preserve">Incomplete or Missing Exhibits, Appendices or Documents 
</t>
  </si>
  <si>
    <t>Attached to and made a part hereof are copies of the site control documents.</t>
  </si>
  <si>
    <t>Complete this section if applicant does not have control of the site and existing building(s) if any.</t>
  </si>
  <si>
    <t>What is the estimated Purchase Price for the site?</t>
  </si>
  <si>
    <t>VII.</t>
  </si>
  <si>
    <t>Net Equity:</t>
  </si>
  <si>
    <t>(Complete information below)</t>
  </si>
  <si>
    <t>NAME OF PARTNERSHIP</t>
  </si>
  <si>
    <t>FEDERAL ID NUMBER</t>
  </si>
  <si>
    <t>(12) The information in Line 11 above is as of what date?:</t>
  </si>
  <si>
    <t>Operating Expenses</t>
  </si>
  <si>
    <t>Non-Subsidized</t>
  </si>
  <si>
    <t>Carpets</t>
  </si>
  <si>
    <t xml:space="preserve">Special Construction </t>
  </si>
  <si>
    <t>Elevators</t>
  </si>
  <si>
    <t>Plumbing and Hot Water</t>
  </si>
  <si>
    <t>Heat and Ventilation</t>
  </si>
  <si>
    <t>Air Conditioning</t>
  </si>
  <si>
    <t>Electrical</t>
  </si>
  <si>
    <t>Accessory Structures</t>
  </si>
  <si>
    <t>Earth work</t>
  </si>
  <si>
    <t>Site Utilities</t>
  </si>
  <si>
    <t>Roads and Walks</t>
  </si>
  <si>
    <t>Site Improvement</t>
  </si>
  <si>
    <t xml:space="preserve">Input in column D "Eligible Basis Reduction" amounts by which basis </t>
  </si>
  <si>
    <t>(see Section 42(c)(1)(E) ).</t>
  </si>
  <si>
    <t>Accountant's Fee Paid by Taxpayer</t>
  </si>
  <si>
    <t>Syndicator's Fee Paid by Taxpayer</t>
  </si>
  <si>
    <t>in the Project are Substandard and have been vacant for at least six months</t>
  </si>
  <si>
    <t>*Submit letter from local governmental unit that all units (residential or non-residential)</t>
  </si>
  <si>
    <t>*Capital Needs Assessment must also certify 100% vacancy</t>
  </si>
  <si>
    <t>Substantial rehabilitation or conversion of Historic Property</t>
  </si>
  <si>
    <t>Rehabilitation or conversion of Non-Historic Property</t>
  </si>
  <si>
    <t>At least 5% percent or more of project units serve households with incomes at or below 30% AMI.</t>
  </si>
  <si>
    <t>or below 30% AMI</t>
  </si>
  <si>
    <t>At least 5% less than 10% of units serve households (other than PSH) with incomes at</t>
  </si>
  <si>
    <t>At least 10% but less than 15% of units serve households (other than PSH) with incomes</t>
  </si>
  <si>
    <t>at or below 30% AMI</t>
  </si>
  <si>
    <t>At least 5% and less than 10% of units serve PSH households with incomes at or below</t>
  </si>
  <si>
    <t>20% AMI</t>
  </si>
  <si>
    <t>(Community facilities must be consistent with definition contained in QAP. Homeownership</t>
  </si>
  <si>
    <t>projects are not eligible to receive points for community facilities.)</t>
  </si>
  <si>
    <t>Project has On Site Security (as defined in Glossary)</t>
  </si>
  <si>
    <t>CERTIFICATE OF OCCUPANCY DATE</t>
  </si>
  <si>
    <t>Environmental Clearance</t>
  </si>
  <si>
    <t xml:space="preserve">   Is Asset Located in an Enterprise Zone?</t>
  </si>
  <si>
    <t xml:space="preserve">   Evidence of Zoning attached as Appendix 4?</t>
  </si>
  <si>
    <t xml:space="preserve">   Is the site properly zoned for development?</t>
  </si>
  <si>
    <t xml:space="preserve">   Is this Property located in the GO Zone?</t>
  </si>
  <si>
    <t xml:space="preserve">   Is for-profit GP owned by 501(c)(3) /(c)(4) organization?</t>
  </si>
  <si>
    <t xml:space="preserve">   Is the non-profit affiliated with a for-profit entity?</t>
  </si>
  <si>
    <t>Total Monthly Rent</t>
  </si>
  <si>
    <t>SECOND MORTGAGE</t>
  </si>
  <si>
    <t>Lender Name:</t>
  </si>
  <si>
    <t>Original Loan Amount:</t>
  </si>
  <si>
    <t>Current Principal Amount:</t>
  </si>
  <si>
    <t>As of Date:</t>
  </si>
  <si>
    <t>(Must be submitted with initial application)</t>
  </si>
  <si>
    <t xml:space="preserve">Submit number, percentage and description of construction and/or equipment provided for each Accessible Unit
</t>
  </si>
  <si>
    <t>Unit count must represent at least (1) one unit above the 504 requirement</t>
  </si>
  <si>
    <t>VI</t>
  </si>
  <si>
    <t xml:space="preserve">Specify:  </t>
  </si>
  <si>
    <t>VII</t>
  </si>
  <si>
    <t>Lafayette</t>
  </si>
  <si>
    <t>Lafourche</t>
  </si>
  <si>
    <t>Lasalle</t>
  </si>
  <si>
    <t>Lincoln</t>
  </si>
  <si>
    <t>Livingston</t>
  </si>
  <si>
    <t>Madison</t>
  </si>
  <si>
    <t>Morehouse</t>
  </si>
  <si>
    <t>Natchitoches</t>
  </si>
  <si>
    <t>Orleans</t>
  </si>
  <si>
    <t>Ouachita</t>
  </si>
  <si>
    <t>Plaquemines</t>
  </si>
  <si>
    <t>Pointe Coupee</t>
  </si>
  <si>
    <t>Rapides</t>
  </si>
  <si>
    <t>Red River</t>
  </si>
  <si>
    <t>Richland</t>
  </si>
  <si>
    <t>Sabine</t>
  </si>
  <si>
    <t>Other - Describe Below</t>
  </si>
  <si>
    <t>UNITS WITHOUT RENTAL SUBSIDIES</t>
  </si>
  <si>
    <t>WITH SUBSIDIES</t>
  </si>
  <si>
    <t>PBRA Type</t>
  </si>
  <si>
    <t>State PBRA</t>
  </si>
  <si>
    <t>Other PBRA</t>
  </si>
  <si>
    <t>and Voluntary Exclusion - Lower Tier Covered</t>
  </si>
  <si>
    <t>Transaction," without modification, in all lower tier</t>
  </si>
  <si>
    <t>covered transactions and in all solicitations for lower</t>
  </si>
  <si>
    <t>tier covered transactions.</t>
  </si>
  <si>
    <t>A participant in a covered transaction may rely</t>
  </si>
  <si>
    <t>upon a certification of a prospective participant in a</t>
  </si>
  <si>
    <t>lower tier covered transaction that is not debarred,</t>
  </si>
  <si>
    <t>suspended, ineligible, or voluntarily excluded from the</t>
  </si>
  <si>
    <t>covered transaction, unless it knows that the certifi-</t>
  </si>
  <si>
    <t>cation is erroneous.  A participant may decide the</t>
  </si>
  <si>
    <t>method and frequency by which it determines the</t>
  </si>
  <si>
    <t>(Submitted on attorney's letterhead)</t>
  </si>
  <si>
    <t>Attn: Tax Credit Coordinator</t>
  </si>
  <si>
    <t>Eligibility for Non-Profit Set-Aside</t>
  </si>
  <si>
    <t>Ladies and Gentlemen:</t>
  </si>
  <si>
    <t>Rental Assistance Anticipated</t>
  </si>
  <si>
    <t>(iii) Other</t>
  </si>
  <si>
    <t>Project Based</t>
  </si>
  <si>
    <t>(iv) Other</t>
  </si>
  <si>
    <t>Other Fees</t>
  </si>
  <si>
    <t>E.  Funds Available for Cash Requirements</t>
  </si>
  <si>
    <t xml:space="preserve">15.  </t>
  </si>
  <si>
    <t>Sources of Cash:</t>
  </si>
  <si>
    <t>(a)  Syndication Proceeds</t>
  </si>
  <si>
    <t>(b)  Owner Contribution</t>
  </si>
  <si>
    <t>(c)  Other</t>
  </si>
  <si>
    <t>Subtotal</t>
  </si>
  <si>
    <t>16.</t>
  </si>
  <si>
    <t>Source of Fees and Grants:</t>
  </si>
  <si>
    <t>17.</t>
  </si>
  <si>
    <t>TOTAL CASH, FEES &amp; GRANTS</t>
  </si>
  <si>
    <t>TOXIC CHEMICAL AND RADIOACTIVE MATERIALS</t>
  </si>
  <si>
    <t>Petroleum Storage</t>
  </si>
  <si>
    <t>Is there any evidence or indication of the presence of commerical or residential heating activities that suggest that underground storage tanks may be located in the property?</t>
  </si>
  <si>
    <t xml:space="preserve">If yes, are any such tanks being used? If yes, indicate below whether the tank is registered, when it was last tested for leaks, the results of that test, and whether there are any applicable state or local laws that impose additional requirements beyond </t>
  </si>
  <si>
    <t>Are there any out-of-service underground fuel storage tanks? If yes, indicate whether the tank was closed out in accordance with applicable state, local and federal laws.</t>
  </si>
  <si>
    <t>Polychlorinated Biphenyls (PCB)</t>
  </si>
  <si>
    <t>Is there any evidence or indication that electrical equipment, such as transformers, capacitors, or hydraulic equipment (found in machinery and elevators, installed prior to July 1, 1884) are present on the site?</t>
  </si>
  <si>
    <t>If yes, is any such equipment (a) owned by anyone other than a public utility company; and (b) not marked with a "PCB Free" sticker?</t>
  </si>
  <si>
    <t>If yes, indicate below whether such equipment has been tested for PCBs, the results of those tests, and (if no testing has been performed) the proposed testing approach. (Electrical equipment need not be tested but will be assumed to have PCBs)</t>
  </si>
  <si>
    <t>If PCBs are found in non-electrical equipment over 50 ppm it must be replaced or retrofitted, otherwise any equipment with PCBs or assumed to have PCBs requires an O&amp;M Plan.</t>
  </si>
  <si>
    <t>Asbestos Containing Materials (ACM)</t>
  </si>
  <si>
    <t>ACADIA</t>
  </si>
  <si>
    <t>ALLEN</t>
  </si>
  <si>
    <t>ASCENSION</t>
  </si>
  <si>
    <t>ASSUMPTION</t>
  </si>
  <si>
    <t>AVOYELLES</t>
  </si>
  <si>
    <t>BEAUREGARD</t>
  </si>
  <si>
    <t>BIENVILLE</t>
  </si>
  <si>
    <t>BOSSIER</t>
  </si>
  <si>
    <t>CADDO</t>
  </si>
  <si>
    <t>CALCASIEU</t>
  </si>
  <si>
    <t>CALDWELL</t>
  </si>
  <si>
    <t>CAMERON</t>
  </si>
  <si>
    <t>CATAHOULA</t>
  </si>
  <si>
    <t>CLAIBORNE</t>
  </si>
  <si>
    <t>CONCORDIA</t>
  </si>
  <si>
    <t>DESOTO</t>
  </si>
  <si>
    <t>E. BATON ROUGE</t>
  </si>
  <si>
    <t>EAST CARROLL</t>
  </si>
  <si>
    <t>E. FELICIANA</t>
  </si>
  <si>
    <t xml:space="preserve">In rendering the following opinion, we reviewed the Articles of Incorporation, Charter and Bylaws of (non-profit); the Letter of Determination dated (date) from the Internal Revenue Service with respect to (non-profit); and all records of (non-profit) and other potential participants in the Project sufficient to make a determination as to the relationship of (non-profit) with any other potential participants in the Project.  Based on our review of the foregoing, it is our opinion that: </t>
  </si>
  <si>
    <t>(Non-profit) is a 501(c)(3) or 501(c)(4) organization and is exempt from tax under Section 501(a).</t>
  </si>
  <si>
    <t xml:space="preserve">This project is a:  </t>
  </si>
  <si>
    <t>Small Project</t>
  </si>
  <si>
    <t>Special Needs/Scattered Site</t>
  </si>
  <si>
    <t>Historic Rehabilitation Project</t>
  </si>
  <si>
    <t>The Maximum Average Dollar Per Square Foot Limit for this project is:</t>
  </si>
  <si>
    <t>Total Development Cost from Sources &amp; Uses</t>
  </si>
  <si>
    <t xml:space="preserve">less any  </t>
  </si>
  <si>
    <t>Government Grants</t>
  </si>
  <si>
    <t>Syndicating Historic Credits</t>
  </si>
  <si>
    <t>Community Facilities</t>
  </si>
  <si>
    <t xml:space="preserve">Total:  </t>
  </si>
  <si>
    <t>Select</t>
  </si>
  <si>
    <t>Identity of Interest Information With Respect to Commercial Loans:</t>
  </si>
  <si>
    <t xml:space="preserve">                                                                     </t>
  </si>
  <si>
    <t xml:space="preserve">                                 </t>
  </si>
  <si>
    <t>Certification</t>
  </si>
  <si>
    <t>Management Co.:</t>
  </si>
  <si>
    <t>Builder / Contractor:</t>
  </si>
  <si>
    <t xml:space="preserve"> Phone: </t>
  </si>
  <si>
    <t>Scheduled Date</t>
  </si>
  <si>
    <t>St. Tammany</t>
  </si>
  <si>
    <t xml:space="preserve">* If the syndication proceeds are generated through public offering, please submit copy of </t>
  </si>
  <si>
    <t>all filings with the SEC as Appendix B.</t>
  </si>
  <si>
    <t>WITNESS my signature, on this, the ___ day of ____________, _______.</t>
  </si>
  <si>
    <t>Syndicator</t>
  </si>
  <si>
    <t>Title:</t>
  </si>
  <si>
    <t xml:space="preserve">Board Members may reside outside of the service area of the non-profit and at least 75% of Board </t>
  </si>
  <si>
    <t>Members must reside within Market Area of the Project.</t>
  </si>
  <si>
    <t>Is Non-profit a 501(c)(3) or 501(c)(4) organization?</t>
  </si>
  <si>
    <t>Describe the charitable activities of Non-profit over the last three calendar years and how such activities</t>
  </si>
  <si>
    <t>are consistent with services to be provided in connection with the Project.</t>
  </si>
  <si>
    <t>Specify Non-profit's Ownership interest in the project or the partnership owning the project:</t>
  </si>
  <si>
    <t>Identify affordable housing developments owned by Non-profit.</t>
  </si>
  <si>
    <t>Name</t>
  </si>
  <si>
    <t>Mixed Income with 30-60% at market</t>
  </si>
  <si>
    <t>Priority Elderly Rehab Project</t>
  </si>
  <si>
    <t>Priority HUD Rehab Project</t>
  </si>
  <si>
    <t>Priority Neighborhood Supported</t>
  </si>
  <si>
    <t>Additional Affordability</t>
  </si>
  <si>
    <t>PSH (with 15% PSH Units)</t>
  </si>
  <si>
    <t>Payment  Standard</t>
  </si>
  <si>
    <t xml:space="preserve"> 1:</t>
  </si>
  <si>
    <t xml:space="preserve"> 2:</t>
  </si>
  <si>
    <t xml:space="preserve"> 3:</t>
  </si>
  <si>
    <t xml:space="preserve"> 4:</t>
  </si>
  <si>
    <t xml:space="preserve"> 5:</t>
  </si>
  <si>
    <t>6:</t>
  </si>
  <si>
    <t>7:</t>
  </si>
  <si>
    <t>8:</t>
  </si>
  <si>
    <t>9:</t>
  </si>
  <si>
    <t>10:</t>
  </si>
  <si>
    <t>Other - Exemptions</t>
  </si>
  <si>
    <t xml:space="preserve">   HOME Funds With 4% Credit</t>
  </si>
  <si>
    <t>CDBG MORTGAGE</t>
  </si>
  <si>
    <t>CDBG (State)</t>
  </si>
  <si>
    <t>CDBG (Local)</t>
  </si>
  <si>
    <t>Cumulative CashFlow</t>
  </si>
  <si>
    <t>Per Square Foot HARD COST Limit Calculation</t>
  </si>
  <si>
    <t>Construction Cost calculation for purposes of Maximum $/s.f. and $/unit limits</t>
  </si>
  <si>
    <t>Construction Cost per Square Foot Calculation</t>
  </si>
  <si>
    <t>AFR</t>
  </si>
  <si>
    <t>Enough HOME Assisted Units?</t>
  </si>
  <si>
    <t>DSR greater than 1.15 during first 15 years?</t>
  </si>
  <si>
    <t>eligibility of its principals.  Each participant may, but is</t>
  </si>
  <si>
    <t>not required to, check the Nonprocurement List.</t>
  </si>
  <si>
    <t>Nothing contained in the foregoing shall be</t>
  </si>
  <si>
    <t>construed to require establishment of a system of</t>
  </si>
  <si>
    <t>records in order to render in good faith the certification</t>
  </si>
  <si>
    <t>required by this clause.  The knowledge and information</t>
  </si>
  <si>
    <t xml:space="preserve">   5:</t>
  </si>
  <si>
    <t xml:space="preserve">   6:</t>
  </si>
  <si>
    <t xml:space="preserve">   7:</t>
  </si>
  <si>
    <t xml:space="preserve">   8:</t>
  </si>
  <si>
    <t>Other Fund Uses NOT in Basis</t>
  </si>
  <si>
    <t>Total Fundable Soft Costs:</t>
  </si>
  <si>
    <t>Expense Cushion</t>
  </si>
  <si>
    <t>Cash Flow / Total Expenses</t>
  </si>
  <si>
    <t>Proceeds from Low-Income Tax Credits</t>
  </si>
  <si>
    <t xml:space="preserve">6.  </t>
  </si>
  <si>
    <t>N/A</t>
  </si>
  <si>
    <t>Interest Income</t>
  </si>
  <si>
    <t xml:space="preserve"> </t>
  </si>
  <si>
    <t>Withdrawals (Equal to Inflated Annual PCA Needs)</t>
  </si>
  <si>
    <t>Ending Balance</t>
  </si>
  <si>
    <t>INCOME</t>
  </si>
  <si>
    <t>RENT</t>
  </si>
  <si>
    <t>Monthly Utility Allowance</t>
  </si>
  <si>
    <t xml:space="preserve">PARISH </t>
  </si>
  <si>
    <t>General Partnership</t>
  </si>
  <si>
    <t>Limited Partnership</t>
  </si>
  <si>
    <t>Individual</t>
  </si>
  <si>
    <t>Corporation</t>
  </si>
  <si>
    <t>fair market import</t>
  </si>
  <si>
    <t>e</t>
  </si>
  <si>
    <t>Utility</t>
  </si>
  <si>
    <t>Heating</t>
  </si>
  <si>
    <t>A/C</t>
  </si>
  <si>
    <t>Cooking</t>
  </si>
  <si>
    <t>Lighting</t>
  </si>
  <si>
    <t>Hot Water</t>
  </si>
  <si>
    <t>Water</t>
  </si>
  <si>
    <t>Sewer</t>
  </si>
  <si>
    <t>Trash</t>
  </si>
  <si>
    <t>Baseline</t>
  </si>
  <si>
    <t>the statements in this certification, such prospective</t>
  </si>
  <si>
    <t>participant shall attach an explanation to this proposal.</t>
  </si>
  <si>
    <t xml:space="preserve">Signature : </t>
  </si>
  <si>
    <t>Primary Input</t>
  </si>
  <si>
    <t>Secondary Input</t>
  </si>
  <si>
    <t>Rehab / Construction</t>
  </si>
  <si>
    <t>Reserve Needs</t>
  </si>
  <si>
    <t>Loan Information</t>
  </si>
  <si>
    <t>Sources &amp; Uses</t>
  </si>
  <si>
    <t>Basis Calculation</t>
  </si>
  <si>
    <t>Auditor</t>
  </si>
  <si>
    <t>EFFICIENCY</t>
  </si>
  <si>
    <t>1 BEDROOM</t>
  </si>
  <si>
    <t>2 BEDROOM</t>
  </si>
  <si>
    <t>3 BEDROOM</t>
  </si>
  <si>
    <t>4 BEDROOM</t>
  </si>
  <si>
    <t>5 BEDROOM</t>
  </si>
  <si>
    <t>5 B/R</t>
  </si>
  <si>
    <t>F/M</t>
  </si>
  <si>
    <t>HOME and Tax Credit Selection Criteria</t>
  </si>
  <si>
    <t>Projected Cash Flow to owner over term of first loan</t>
  </si>
  <si>
    <t>Year</t>
  </si>
  <si>
    <t>BegBal</t>
  </si>
  <si>
    <t>Pmt</t>
  </si>
  <si>
    <t>EndBal</t>
  </si>
  <si>
    <t>Accrd Int</t>
  </si>
  <si>
    <t>CF</t>
  </si>
  <si>
    <t>Owner Distribution</t>
  </si>
  <si>
    <t>Cash Flow</t>
  </si>
  <si>
    <t>Years remaining at closing:</t>
  </si>
  <si>
    <t>Term</t>
  </si>
  <si>
    <t xml:space="preserve">Security Code: </t>
  </si>
  <si>
    <t>Home Funds</t>
  </si>
  <si>
    <t>TYPE OF SUBSIDY - Total</t>
  </si>
  <si>
    <t>Eligible Basis in Configuration</t>
  </si>
  <si>
    <t>Purchase Information</t>
  </si>
  <si>
    <t>Purchase Price:</t>
  </si>
  <si>
    <t>Appendix 52</t>
  </si>
  <si>
    <t>to complete the Project and/or to assure that the housing units assisted with HOME Funds are affordable:</t>
  </si>
  <si>
    <t>(Full documentation evidencing commitment must be attached.)</t>
  </si>
  <si>
    <t>Non-federal cash from local governmental unit</t>
  </si>
  <si>
    <t>Abatement of state or local taxes, fees or other charges</t>
  </si>
  <si>
    <t>which otherwise would have been imposed</t>
  </si>
  <si>
    <t xml:space="preserve">   Legal Structure of Taxpayer: </t>
  </si>
  <si>
    <t xml:space="preserve">"Project") hereby certifies under penalty of perjury that the Contractor certifying the construction and/or </t>
  </si>
  <si>
    <t>TDC/Unit</t>
  </si>
  <si>
    <t>Soft Costs/Unit</t>
  </si>
  <si>
    <t>1st Mortgage Principal</t>
  </si>
  <si>
    <t>Interest</t>
  </si>
  <si>
    <t>2nd Mortgage Principal</t>
  </si>
  <si>
    <t>Gross Equity</t>
  </si>
  <si>
    <t>B.  Syndication Information</t>
  </si>
  <si>
    <t>Provide the following information concerning syndication from sale of tax credits:</t>
  </si>
  <si>
    <t xml:space="preserve">I.  </t>
  </si>
  <si>
    <t>Bienville</t>
  </si>
  <si>
    <t>Bossier</t>
  </si>
  <si>
    <t>Caddo</t>
  </si>
  <si>
    <t>Calcasieu</t>
  </si>
  <si>
    <t>Caldwell</t>
  </si>
  <si>
    <t>Cameron</t>
  </si>
  <si>
    <t>Catahoula</t>
  </si>
  <si>
    <t>Claiborne</t>
  </si>
  <si>
    <t>Concordia</t>
  </si>
  <si>
    <t>Desoto</t>
  </si>
  <si>
    <t>Evangeline</t>
  </si>
  <si>
    <t>Franklin</t>
  </si>
  <si>
    <t>Grant</t>
  </si>
  <si>
    <t>Iberia</t>
  </si>
  <si>
    <t>Iberville</t>
  </si>
  <si>
    <t>Jackson</t>
  </si>
  <si>
    <t>Jefferson</t>
  </si>
  <si>
    <t>Jefferson Davis</t>
  </si>
  <si>
    <t>Enter Project Schedule</t>
  </si>
  <si>
    <t>APPENDIX 1</t>
  </si>
  <si>
    <t>OWNERSHIP INFORMATION</t>
  </si>
  <si>
    <t xml:space="preserve">Taxpayer.  Reservations are not transferrable.  Any changes in managing general partner is deemed a </t>
  </si>
  <si>
    <t>material change.)</t>
  </si>
  <si>
    <t xml:space="preserve">For-Profit  </t>
  </si>
  <si>
    <t>Primary Contact for Developer:</t>
  </si>
  <si>
    <t>Taxpayer:</t>
  </si>
  <si>
    <t>Managing Member</t>
  </si>
  <si>
    <t>Governmental Support ( Government funds must be actual "awarded funds" as evidenced by a signed commitment obligating the funds to the project.)</t>
  </si>
  <si>
    <t>Appendix 1</t>
  </si>
  <si>
    <t>Documents in Support of Property Information</t>
  </si>
  <si>
    <t>Appendix 2</t>
  </si>
  <si>
    <t xml:space="preserve">Site Control Worksheet </t>
  </si>
  <si>
    <t>i)</t>
  </si>
  <si>
    <t>ii)</t>
  </si>
  <si>
    <t>Site control documents</t>
  </si>
  <si>
    <t>iii)</t>
  </si>
  <si>
    <t>Legal descriptions</t>
  </si>
  <si>
    <t>iv)</t>
  </si>
  <si>
    <t>Map</t>
  </si>
  <si>
    <t>Appendix 3</t>
  </si>
  <si>
    <t>c)</t>
  </si>
  <si>
    <t>Appendix 4</t>
  </si>
  <si>
    <t>Zoning Evidence</t>
  </si>
  <si>
    <t>Zoning Certification Letter (use format provided in application, obtain from local jurisdiction)</t>
  </si>
  <si>
    <t>Other documents related to zoning</t>
  </si>
  <si>
    <t>d)</t>
  </si>
  <si>
    <t>Appendix 5</t>
  </si>
  <si>
    <t xml:space="preserve">Appraisal </t>
  </si>
  <si>
    <t>e)</t>
  </si>
  <si>
    <t xml:space="preserve">Appendix 6 </t>
  </si>
  <si>
    <t xml:space="preserve">Capital Needs Assessment </t>
  </si>
  <si>
    <t>Documents in Support of Sources and Uses</t>
  </si>
  <si>
    <t>Appendix 7</t>
  </si>
  <si>
    <t>Financing Commitments (obtain from bank, syndicator, etc.)</t>
  </si>
  <si>
    <t>Appendix 8</t>
  </si>
  <si>
    <t>Points will be awarded for the following services located within the specified distance of the site.  Distance will be measured by odometer from the automobile entrance of the proposed project site to the closest automobile entrance to the parking lot of the applicable service.   Applicant should ensure that the service is suitable for the targeted population.  Points will only be awarded for the services listed below.  One Half (0.5) points will be awarded for any service listed that is located over 1 mile but is within 2 miles.   1 point &lt;= (1) mile</t>
  </si>
  <si>
    <t>Letter requesting waiver of profit limits and supporting documentation</t>
  </si>
  <si>
    <t>Appendix 9</t>
  </si>
  <si>
    <t>Appendix 10</t>
  </si>
  <si>
    <t>Documents in Support of  Pool Selection</t>
  </si>
  <si>
    <t>Appendix 11</t>
  </si>
  <si>
    <t>Appendix 12</t>
  </si>
  <si>
    <t>IRS Determination Letter of 501(c)(3) or 501(c)(4) status (obtain from IRS)</t>
  </si>
  <si>
    <t>Appendix 13</t>
  </si>
  <si>
    <t>Appendix 14</t>
  </si>
  <si>
    <t xml:space="preserve">Articles and By-Laws </t>
  </si>
  <si>
    <t>Appendix 15</t>
  </si>
  <si>
    <t xml:space="preserve">CHDO approval letter from participating jurisdiction (obtain from local jurisdiction) </t>
  </si>
  <si>
    <t>g)</t>
  </si>
  <si>
    <t>Appendix 16</t>
  </si>
  <si>
    <t>h)</t>
  </si>
  <si>
    <t>Appendix 17</t>
  </si>
  <si>
    <t>j)</t>
  </si>
  <si>
    <t>Appendix 18</t>
  </si>
  <si>
    <t xml:space="preserve">Documents in Support of Selection Criteria </t>
  </si>
  <si>
    <t>Appendix 19</t>
  </si>
  <si>
    <t>Appendix 20</t>
  </si>
  <si>
    <t>Appendix 21</t>
  </si>
  <si>
    <t>Appendix 22</t>
  </si>
  <si>
    <t>Appendix 23</t>
  </si>
  <si>
    <t>f)</t>
  </si>
  <si>
    <t>Appendix 24</t>
  </si>
  <si>
    <t>Appendix 25</t>
  </si>
  <si>
    <t>Appendix 26</t>
  </si>
  <si>
    <t>Appendix 27</t>
  </si>
  <si>
    <t>Appendix 28</t>
  </si>
  <si>
    <t>k)</t>
  </si>
  <si>
    <t>Appendix 29</t>
  </si>
  <si>
    <t>l)</t>
  </si>
  <si>
    <t>Appendix 30</t>
  </si>
  <si>
    <t>m)</t>
  </si>
  <si>
    <t>Appendix 31</t>
  </si>
  <si>
    <t>n)</t>
  </si>
  <si>
    <t>Appendix 32</t>
  </si>
  <si>
    <t>o)</t>
  </si>
  <si>
    <t>Appendix 33</t>
  </si>
  <si>
    <t>p)</t>
  </si>
  <si>
    <t>Appendix 34</t>
  </si>
  <si>
    <t>q)</t>
  </si>
  <si>
    <t>Appendix 35</t>
  </si>
  <si>
    <t>Appendix 36</t>
  </si>
  <si>
    <t>Appendix 37</t>
  </si>
  <si>
    <t>Appendix 38</t>
  </si>
  <si>
    <t>Leverage for disability funding-Letter stating the commitment units for disability funding</t>
  </si>
  <si>
    <t>Other Documents Required by Application but not listed elsewhere</t>
  </si>
  <si>
    <t>Appendix 39</t>
  </si>
  <si>
    <t>Appendix 40</t>
  </si>
  <si>
    <t>Appendix 41</t>
  </si>
  <si>
    <t>Appendix 42</t>
  </si>
  <si>
    <t>Evidence of Community Notification</t>
  </si>
  <si>
    <t>Appendix 43</t>
  </si>
  <si>
    <t>Evidence of Network Neighborhood, On-site Utilities, Transportation and Education facilities</t>
  </si>
  <si>
    <t>Appendix 44</t>
  </si>
  <si>
    <t>Tenant referrals from LRA/OCD,PHA, etc.</t>
  </si>
  <si>
    <t>Appendix 45</t>
  </si>
  <si>
    <t>Evidence of minimum internet/cable</t>
  </si>
  <si>
    <t xml:space="preserve">Evidence of  project to incorporate Energy Efficient products - original stamped letter from either architect or engineer of record.
</t>
  </si>
  <si>
    <t>Evidence of project to incorporate: i) 15 year or more maintenance-free exterior; ii) have at least a 25 year roof warranty; iii) have storm windows</t>
  </si>
  <si>
    <t>Historic rehabilitation projects- include information concerning minimum project requirements, including but not limited to Energy Efficiency, Design Features, Base Flood Elevation and Internet Cable requirements for consideration of applicable waivers.</t>
  </si>
  <si>
    <t>Evidence that Property Management Co. or on-site Manager has received LIHTC Compliance Certification within 12 months prior to the application deadline date</t>
  </si>
  <si>
    <t>CEO Notification Letter Information</t>
  </si>
  <si>
    <t>Have the person or entities serving as management agent had a project with material or uncorrected non-compliance beyond the cure period?</t>
  </si>
  <si>
    <t xml:space="preserve">I, the undersigned , understand the management agent listed on the application must be retained by the ownership entity for at least two years after project completion, unless the Taxpayer releases the agent for nonperformance of duties. </t>
  </si>
  <si>
    <r>
      <rPr>
        <sz val="11"/>
        <color indexed="8"/>
        <rFont val="Calibri"/>
        <family val="2"/>
      </rPr>
      <t xml:space="preserve">Complete the information below for projects your organization has in its current portfolio of similar size and type . </t>
    </r>
    <r>
      <rPr>
        <b/>
        <sz val="11"/>
        <color indexed="8"/>
        <rFont val="Calibri"/>
        <family val="2"/>
      </rPr>
      <t xml:space="preserve"> </t>
    </r>
    <r>
      <rPr>
        <b/>
        <i/>
        <sz val="11"/>
        <color indexed="8"/>
        <rFont val="Calibri"/>
        <family val="2"/>
      </rPr>
      <t>Do not include projects approved but not yet placed in service.</t>
    </r>
  </si>
  <si>
    <t xml:space="preserve">   Is property located in a Rural community?</t>
  </si>
  <si>
    <t>NAME OF MANAGING GENERAL PARTNER</t>
  </si>
  <si>
    <t>Telephone</t>
  </si>
  <si>
    <t>% Ownership</t>
  </si>
  <si>
    <t>List all projects in which the managing general partner has requested an allocation of low-income housing tax</t>
  </si>
  <si>
    <t>credits or sold a project which received an allocation of low income housing tax credits.  Attach a separate</t>
  </si>
  <si>
    <t>POOL SPECIFICATION - (Select only One)</t>
  </si>
  <si>
    <t>PHA</t>
  </si>
  <si>
    <t>PHA With CDBG</t>
  </si>
  <si>
    <t>Non-PHA With CDBG</t>
  </si>
  <si>
    <t>Non-PHA Without CDBG</t>
  </si>
  <si>
    <t>Projects with Existing allocations of GO Zone Credits, ID Category:</t>
  </si>
  <si>
    <t>Disabled Households</t>
  </si>
  <si>
    <t>Tenant Populations of individuals with children</t>
  </si>
  <si>
    <t>Developer Experience</t>
  </si>
  <si>
    <t>/unit/year</t>
  </si>
  <si>
    <t>(13) Indicate the average operating expenses per unit per year for subsidized housing and for market rate (non-subsidized) housing:</t>
  </si>
  <si>
    <t>applied for an Allocation of Tax Credits in the calendar year within which this Application has been submitted</t>
  </si>
  <si>
    <t xml:space="preserve">The following constitutes the source of Bridge Loan Costs and/or other Interim Financing Devices </t>
  </si>
  <si>
    <t>from commercial lenders:</t>
  </si>
  <si>
    <t>Interim Funds From Commercial Lender:</t>
  </si>
  <si>
    <t>Interest Rate</t>
  </si>
  <si>
    <t>1. Name:</t>
  </si>
  <si>
    <t xml:space="preserve">per annum </t>
  </si>
  <si>
    <t xml:space="preserve">     Rental Income GROSS VACANCY</t>
  </si>
  <si>
    <t xml:space="preserve">     Rental Income NET VACANCY</t>
  </si>
  <si>
    <t xml:space="preserve">     Other </t>
  </si>
  <si>
    <t xml:space="preserve">Stores &amp; Commercial- </t>
  </si>
  <si>
    <t>Total Rental Income:</t>
  </si>
  <si>
    <t xml:space="preserve">Vacancies: Enter as Negative </t>
  </si>
  <si>
    <t xml:space="preserve">Apartments- </t>
  </si>
  <si>
    <t xml:space="preserve">Garage &amp; Parking Spaces- </t>
  </si>
  <si>
    <t xml:space="preserve">per annum and expects to receive </t>
  </si>
  <si>
    <t xml:space="preserve"> of interest on funds loaned to the Taxpayer by the Syndicator.</t>
  </si>
  <si>
    <t xml:space="preserve">The following amounts represent syndication expenses to be incurred and paid by the </t>
  </si>
  <si>
    <t xml:space="preserve"> Other Information</t>
  </si>
  <si>
    <t xml:space="preserve">   Is the property located in a Levee Protected Area ?</t>
  </si>
  <si>
    <t>(7) The Market Study supports the number of Special Needs households who are expected to occupy units in the Project. Based upon the Market Study, Special Needs households at 50% of AMI or less will occupy the following unit sizes in the number specified:</t>
  </si>
  <si>
    <t>Household at or below 50% AMI</t>
  </si>
  <si>
    <t>Homeless</t>
  </si>
  <si>
    <t>Handicapped</t>
  </si>
  <si>
    <t>(8) The Market Study supports the number of Special Needs households who are expected to occupy units in the Project. Based upon the Market Study, Special Needs households at 60% of AMI or less will occupy the following unit sizes in the number specified:</t>
  </si>
  <si>
    <t>Household at or below 60% AMI</t>
  </si>
  <si>
    <t>(9) Give the total number of households on the PHA waiting list for the market area given above:</t>
  </si>
  <si>
    <t>(10) Name the governmental unit responsible for permitting construction in the market area given above:</t>
  </si>
  <si>
    <t>(11) How many units have been permitted by the above-referenced government unit for construction in the market area given above:</t>
  </si>
  <si>
    <t>Syndicator in obtaining cash to invest in the Taxpayer:</t>
  </si>
  <si>
    <t xml:space="preserve">   Items  </t>
  </si>
  <si>
    <t xml:space="preserve">  Payee*  </t>
  </si>
  <si>
    <t xml:space="preserve">  Amounts*  </t>
  </si>
  <si>
    <t>PROJECT &amp; SUBMISSION PENALTY POINTS</t>
  </si>
  <si>
    <t xml:space="preserve">   Countertops and Sinks</t>
  </si>
  <si>
    <t xml:space="preserve">   Refrigerators</t>
  </si>
  <si>
    <t xml:space="preserve">   Ranges &amp; vent hoods</t>
  </si>
  <si>
    <t xml:space="preserve">   Interior Closet Doors</t>
  </si>
  <si>
    <t xml:space="preserve">   Interior Doors</t>
  </si>
  <si>
    <t xml:space="preserve">   Interior Stairs</t>
  </si>
  <si>
    <t>High Vacancy Project-Letter from local jurisdiction that unit has been  vacant for at least 90 days and likely to remain vacant because such unit are substandard.</t>
  </si>
  <si>
    <t>Scattered Site-List of each address, square footage and costs of each separate building for Scattered Site</t>
  </si>
  <si>
    <t xml:space="preserve">Non Scattered Site Rehabilitation Project-Attach evidence per selection </t>
  </si>
  <si>
    <t xml:space="preserve">Scattered Site Substantial Rehabilitation or Infill Project- Attach evidence per selection </t>
  </si>
  <si>
    <t>Special Needs Households other than Elderly Households and provides Supportive Services</t>
  </si>
  <si>
    <t>Description of Supportive Services tailored to each Special Needs Household</t>
  </si>
  <si>
    <t xml:space="preserve">   Structure</t>
  </si>
  <si>
    <t xml:space="preserve">   Foundation</t>
  </si>
  <si>
    <t xml:space="preserve">   Framing</t>
  </si>
  <si>
    <t xml:space="preserve">   HVAC</t>
  </si>
  <si>
    <t xml:space="preserve">   Heat Pumps</t>
  </si>
  <si>
    <t xml:space="preserve">   Window units</t>
  </si>
  <si>
    <t xml:space="preserve">   Heating Eqpt., Electric</t>
  </si>
  <si>
    <t xml:space="preserve">   Heating Eqpt., Gas</t>
  </si>
  <si>
    <t xml:space="preserve">   Cooling Equipment</t>
  </si>
  <si>
    <t xml:space="preserve">   Electrical System</t>
  </si>
  <si>
    <t xml:space="preserve">   Service</t>
  </si>
  <si>
    <t xml:space="preserve">   Devices</t>
  </si>
  <si>
    <t>under Uses of Funds.</t>
  </si>
  <si>
    <t xml:space="preserve">E. </t>
  </si>
  <si>
    <t xml:space="preserve">Any project involving repair of physical damage on which an insurance claim is made and received but applicant fails to disclose and utilize insurance proceeds in the development budget to reduce the use of Low Income Housing Tax Credits
</t>
  </si>
  <si>
    <t>Total Rehab Hard Costs</t>
  </si>
  <si>
    <t>Viability Penalty Points</t>
  </si>
  <si>
    <t>Discount</t>
  </si>
  <si>
    <t xml:space="preserve">     1: Permanent Loan/Financing  Fees</t>
  </si>
  <si>
    <t>Divide total in Step 1 by amount shown in Step 2.</t>
  </si>
  <si>
    <t>Intermediary Cost</t>
  </si>
  <si>
    <t>Step 1: Add the following amounts from  Sources and Uses of Funds.</t>
  </si>
  <si>
    <t>of a participant is not required to exceed that which is</t>
  </si>
  <si>
    <t>normally possessed by a prudent person in the ordinary</t>
  </si>
  <si>
    <t>course of business dealings.</t>
  </si>
  <si>
    <t xml:space="preserve">Except for transactions authorized under </t>
  </si>
  <si>
    <t>paragraph 5 of these instruction, if a participant in</t>
  </si>
  <si>
    <t>a covered transaction knowingly enters into a lower tier</t>
  </si>
  <si>
    <t>covered transaction with a person who is suspended,</t>
  </si>
  <si>
    <t>debarred, ineligible, or voluntarily excluded from</t>
  </si>
  <si>
    <t>participation in this transaction, in addition to other</t>
  </si>
  <si>
    <t>remedies available to the Federal Government, the</t>
  </si>
  <si>
    <t>originated may pursue available remedies, including</t>
  </si>
  <si>
    <t>suspension and/or debarment.</t>
  </si>
  <si>
    <t>Total Number of Units Per Building</t>
  </si>
  <si>
    <t>Total Grant in Configuration</t>
  </si>
  <si>
    <t>BASIS CALCULATION</t>
  </si>
  <si>
    <t>Total Development Cost</t>
  </si>
  <si>
    <t>Rental IncomeProducing Units</t>
  </si>
  <si>
    <t>(i)  Rehabilitation Hard Costs are less than $20,000 per unit</t>
  </si>
  <si>
    <t>(ii)  Development fee exceeds 25% of hard costs for rehabilitation</t>
  </si>
  <si>
    <t>2)</t>
  </si>
  <si>
    <t>3)</t>
  </si>
  <si>
    <t>4)</t>
  </si>
  <si>
    <t>5)</t>
  </si>
  <si>
    <t>6)</t>
  </si>
  <si>
    <t>7)</t>
  </si>
  <si>
    <t>8)</t>
  </si>
  <si>
    <t>9)</t>
  </si>
  <si>
    <t>10)</t>
  </si>
  <si>
    <t>11)</t>
  </si>
  <si>
    <t>12)</t>
  </si>
  <si>
    <t>action," "principal," "proposal," and "voluntarily</t>
  </si>
  <si>
    <t>WITNESS my signature, on this the ____ day of ____________, 20___.</t>
  </si>
  <si>
    <t>Taxpayer/Applicant</t>
  </si>
  <si>
    <t>By:</t>
  </si>
  <si>
    <t>Notary</t>
  </si>
  <si>
    <t>The undersigned duly authorized representative of the Syndicator hereby certifies as follows:</t>
  </si>
  <si>
    <t xml:space="preserve">The undersigned duly authorized representative of the owner (the "Taxpayer") of the captioned project (the </t>
  </si>
  <si>
    <t xml:space="preserve">of the Application will be determined as of January 1st of the year in which the Application </t>
  </si>
  <si>
    <t xml:space="preserve">is submitted and will be based on the yield as of such date on the six (6) month T-Bill plus </t>
  </si>
  <si>
    <t>two (2) percent.</t>
  </si>
  <si>
    <t>Please evidence this calculation as follows:</t>
  </si>
  <si>
    <t>(i)</t>
  </si>
  <si>
    <t>Compounding Installments prior to Placed In Service Date:</t>
  </si>
  <si>
    <t>(ii)</t>
  </si>
  <si>
    <t>Discounting Installments Following Placed In Service Date:</t>
  </si>
  <si>
    <t>(iii)</t>
  </si>
  <si>
    <t>Net Equity [Add (i) plus (ii)]:</t>
  </si>
  <si>
    <t xml:space="preserve">   Qualified Non-Profit Name if Applicable</t>
  </si>
  <si>
    <t xml:space="preserve">   Is property located in a QCT or DDA ?</t>
  </si>
  <si>
    <t xml:space="preserve">   Number of Residential Buildings</t>
  </si>
  <si>
    <t xml:space="preserve">   Accessory Buildings</t>
  </si>
  <si>
    <t xml:space="preserve">   Development Type</t>
  </si>
  <si>
    <t xml:space="preserve">   Set- Aside Percentage</t>
  </si>
  <si>
    <t xml:space="preserve">   Building Style</t>
  </si>
  <si>
    <t xml:space="preserve">   3BR</t>
  </si>
  <si>
    <t xml:space="preserve">   2 BR </t>
  </si>
  <si>
    <t xml:space="preserve">   1 BR</t>
  </si>
  <si>
    <t xml:space="preserve">   0 BR</t>
  </si>
  <si>
    <t xml:space="preserve">   4 BR</t>
  </si>
  <si>
    <t xml:space="preserve">   5 BR</t>
  </si>
  <si>
    <t xml:space="preserve">   Other</t>
  </si>
  <si>
    <t xml:space="preserve">   TOTAL</t>
  </si>
  <si>
    <t xml:space="preserve">   Appraisal Date:</t>
  </si>
  <si>
    <t xml:space="preserve">   Pre-Rehab Appraisal Value:</t>
  </si>
  <si>
    <t xml:space="preserve">   Post-Rehab Appraisal Value:</t>
  </si>
  <si>
    <t xml:space="preserve">Current Date:    </t>
  </si>
  <si>
    <t xml:space="preserve">Number of  "No's" requiring explanation: </t>
  </si>
  <si>
    <t>SITE</t>
  </si>
  <si>
    <t xml:space="preserve">Option/Contract  </t>
  </si>
  <si>
    <t xml:space="preserve">Site Acquisition                </t>
  </si>
  <si>
    <t xml:space="preserve">Zoning Approval    </t>
  </si>
  <si>
    <t>Site Analysis</t>
  </si>
  <si>
    <t>FINANCING</t>
  </si>
  <si>
    <t>1.</t>
  </si>
  <si>
    <t>Construction Loan/Interim Financing</t>
  </si>
  <si>
    <t xml:space="preserve">Loan Application                      </t>
  </si>
  <si>
    <t xml:space="preserve">Conditional Commitment              </t>
  </si>
  <si>
    <t>Project Based Contract</t>
  </si>
  <si>
    <t>&lt;40%</t>
  </si>
  <si>
    <t>&lt;50%</t>
  </si>
  <si>
    <t>&lt;60%</t>
  </si>
  <si>
    <t>%&lt;40%</t>
  </si>
  <si>
    <t>%&lt;50%</t>
  </si>
  <si>
    <t>%&lt;60%</t>
  </si>
  <si>
    <t>&gt;%</t>
  </si>
  <si>
    <t>Apply?</t>
  </si>
  <si>
    <t>ok? 1=y</t>
  </si>
  <si>
    <t>Privately Placed</t>
  </si>
  <si>
    <t>Go to File, Print</t>
  </si>
  <si>
    <t>Check Entire workbook, press ok</t>
  </si>
  <si>
    <t>were made and as of the Project's Placed in Service Date.</t>
  </si>
  <si>
    <t>Reservation Date</t>
  </si>
  <si>
    <t>Allocation Date</t>
  </si>
  <si>
    <t>Placed In Service Date</t>
  </si>
  <si>
    <t>Non Repayable Grants</t>
  </si>
  <si>
    <t>(a)</t>
  </si>
  <si>
    <t>(b)</t>
  </si>
  <si>
    <t>(c)</t>
  </si>
  <si>
    <t>HOME</t>
  </si>
  <si>
    <t>(d)</t>
  </si>
  <si>
    <t>Rental Rehab</t>
  </si>
  <si>
    <t>(e)</t>
  </si>
  <si>
    <t>(f)</t>
  </si>
  <si>
    <t>Local</t>
  </si>
  <si>
    <t>(g)</t>
  </si>
  <si>
    <t>Secondary Financing</t>
  </si>
  <si>
    <t>HOPE VI</t>
  </si>
  <si>
    <t>(h)</t>
  </si>
  <si>
    <t>(I)</t>
  </si>
  <si>
    <t xml:space="preserve">Property &amp; Liability Insurance- </t>
  </si>
  <si>
    <t xml:space="preserve">Fidelity Bond Insurance- </t>
  </si>
  <si>
    <t xml:space="preserve">Workmen's Compensation- </t>
  </si>
  <si>
    <t xml:space="preserve">Health Ins. &amp; Other Emp.Benefits- </t>
  </si>
  <si>
    <t xml:space="preserve">Other Insurance- </t>
  </si>
  <si>
    <t>Total Taxes &amp; Insurance:</t>
  </si>
  <si>
    <t>TOTAL OPERATING EXPENSES:</t>
  </si>
  <si>
    <t>VERMILION</t>
  </si>
  <si>
    <t>VERNON</t>
  </si>
  <si>
    <t>WASHINGTON</t>
  </si>
  <si>
    <t>WEBSTER</t>
  </si>
  <si>
    <t>W. BATON ROUGE</t>
  </si>
  <si>
    <t>W. CARROLL</t>
  </si>
  <si>
    <t>W. FELICIANA</t>
  </si>
  <si>
    <t>WINN</t>
  </si>
  <si>
    <t>40 / 60 TEST 2009</t>
  </si>
  <si>
    <t xml:space="preserve">Minimum of 25% but less than 50% </t>
  </si>
  <si>
    <t xml:space="preserve">75% or above </t>
  </si>
  <si>
    <t>disproportionate quality of LIUs (see Section 42(d)(3)(B) );</t>
  </si>
  <si>
    <t>Total Grant Per Building</t>
  </si>
  <si>
    <t>Please identify each development team member.</t>
  </si>
  <si>
    <t xml:space="preserve"> Phone:</t>
  </si>
  <si>
    <t xml:space="preserve">E-Mail Address: </t>
  </si>
  <si>
    <t>Attorney:</t>
  </si>
  <si>
    <t>Accountant:</t>
  </si>
  <si>
    <t>proposal that neither it nor its principals is presently</t>
  </si>
  <si>
    <t>debarred, suspended, proposed for debarment, declared</t>
  </si>
  <si>
    <t>ineligible, or voluntarily excluded from participation in</t>
  </si>
  <si>
    <t>Total Permitted Credit Per Building</t>
  </si>
  <si>
    <t>SYNDICATION INFORMATION AND</t>
  </si>
  <si>
    <t>CERTIFICATION</t>
  </si>
  <si>
    <t>The Undersigned duly authorized representative of the Taxpayer/Applicant hereby certifies under penalty of</t>
  </si>
  <si>
    <t>perjury as follows:</t>
  </si>
  <si>
    <t>Syndication Commitment:</t>
  </si>
  <si>
    <t xml:space="preserve">A Commitment attached hereto as Exhibit A has been received from the Syndicator (named </t>
  </si>
  <si>
    <t xml:space="preserve">below) to purchase an ownership interest in the Taxpayer/Applicant for the total dollar amount </t>
  </si>
  <si>
    <t xml:space="preserve">specified below (the "Syndication Proceeds") in the percentage specified below in connection with </t>
  </si>
  <si>
    <t>the Low-Income Housing Credits specified in the Commitment:</t>
  </si>
  <si>
    <t>Syndicator Information*</t>
  </si>
  <si>
    <t>Name:</t>
  </si>
  <si>
    <t>Address:</t>
  </si>
  <si>
    <t>Telephone:</t>
  </si>
  <si>
    <t>Fax:</t>
  </si>
  <si>
    <t>Contact:</t>
  </si>
  <si>
    <t>* See Glossary for definition of "Syndicator"</t>
  </si>
  <si>
    <t>APPENDIX 2</t>
  </si>
  <si>
    <t>SITE CONTROL WORKSHEET</t>
  </si>
  <si>
    <t xml:space="preserve">A. </t>
  </si>
  <si>
    <t>Please indicate the method of site control:</t>
  </si>
  <si>
    <t>Purchase (please complete Section B below)</t>
  </si>
  <si>
    <t>Option to Purchase (please complete Section C below)</t>
  </si>
  <si>
    <t>Lease (please complete Section D below)</t>
  </si>
  <si>
    <t xml:space="preserve">B. </t>
  </si>
  <si>
    <t>Syndication Costs Paid by Syndicator (E-F):</t>
  </si>
  <si>
    <t xml:space="preserve">The terms of the interim financing specified in Section III above were negotiated in good faith and on </t>
  </si>
  <si>
    <t>Number of Market Units</t>
  </si>
  <si>
    <t>Total Syndication Costs (G+H):</t>
  </si>
  <si>
    <t>Louisiana Housing Corporation</t>
  </si>
  <si>
    <t>Tax credits requested less than $1,000,000?</t>
  </si>
  <si>
    <t>HOME/CDBG DEBT SERVICE</t>
  </si>
  <si>
    <t>Historic Project</t>
  </si>
  <si>
    <t>HOME / CDBG MORTGAGE</t>
  </si>
  <si>
    <t xml:space="preserve">   Are lots/tracts contiguous?</t>
  </si>
  <si>
    <t xml:space="preserve">   If rehab, year built?</t>
  </si>
  <si>
    <t xml:space="preserve">   Is the project bond-financed?</t>
  </si>
  <si>
    <t xml:space="preserve"> If bond financed, was the total number of low income units in the project described in a notice of public hearing published in a newspaper of general circulation within the parish where the project is located, and was a public hearing held in a local forum proximate to where the project is located following a Notice of Public Hearing published at least fourteen (14) days prior to the hearing? If yes, attach documentation.</t>
  </si>
  <si>
    <t>Did the Public Notice specify the number and percentage of low income units in the project if the project contains fifty or more units or, if not specified in the Public Notice, was the number and percentage of low-income units in the Project approved by the governing authority of the jurisdiction within which the Project is located? If yes, attach documentation.</t>
  </si>
  <si>
    <t>Gustav</t>
  </si>
  <si>
    <t>Ike</t>
  </si>
  <si>
    <t>CDBG Funds - OCD</t>
  </si>
  <si>
    <t>CDBG Funds - LHC</t>
  </si>
  <si>
    <t>CDBG Funds - Other</t>
  </si>
  <si>
    <t>Attach resume of the non-profit employee who has affordable housing development experience.</t>
  </si>
  <si>
    <t>You have asked that we render our opinion that (non-profit) is a qualified nonprofit organization within the meaning of Section 469(h) of the Internal Revenue Code.  We understand that you require this opinion as a prerequisite to your consideration of making an allocation of Low-Income Housing Tax Credits with respect to the Project from the set-aside reserved for the use of qualified non-profit organizations.</t>
  </si>
  <si>
    <t xml:space="preserve">   Maximum LHC-CDBG Funds Requested: </t>
  </si>
  <si>
    <t>Prelim</t>
  </si>
  <si>
    <t>LHC Use Only</t>
  </si>
  <si>
    <t>Low Income Housing Tax Credit / Home/ CDBG Funds</t>
  </si>
  <si>
    <t>2. Zoning: Appropriate zoning evidence in the form of (i) an official local jurisdiction
map that the site is actually zoned for the proposed project type or (ii) a letter
from an official of the jurisdiction stating either that (a) the proposed project is
consistent with existing zone requirements or (b) if the site is not currently zoned
for the project type, that changing the existing zoning requirements to permit the
project to be constructed will be completed by a date certain (not later than the
date specified in the QAP for tax credit reservations). This documentation must be  in the final application dated no later than August 28, 2013.</t>
  </si>
  <si>
    <t>8. Design Features: All projects must meet the following design features: (1) All
projects must have a 15-year or more maintenance-free exterior, such as brick,
stucco or other fiber -cementious acceptable durable materials.
Vinyl siding does not meet this requirement. Additional product may be added
to this list subject to review by the Corporation Construction Department. (2) All
projects must have a 25 year roof warranty (3) All projects must
have storm windows or coastal windows or insulated windows.</t>
  </si>
  <si>
    <t xml:space="preserve">7. Energy Efficiency: Projects are required to meet the Energy Star Qualified Homes Version 3 (Rev.05) (Exhibit EE- ENERGY STAR Reference Design) minimum requirement. All of the energy efficiency components must be clearly and individually listed in an original stamped letter from either the architect or engineer of record. </t>
  </si>
  <si>
    <t>9. New construction projects must meet new FEMA Guidelines dated 4/12/2006 or the most current available for the location of the proposed project for elevation of housing relative to Base Flood Elevation.  An Architect’s certification must be provided for any project located inside a levee protected area.</t>
  </si>
  <si>
    <t>10. Rehabilitation projects must submit a Capital Needs Assessment which specifically addressing the current FEMA Guidelines.</t>
  </si>
  <si>
    <t>LHC Tax Credit Fees</t>
  </si>
  <si>
    <t>LHC HOME Fees</t>
  </si>
  <si>
    <t>HOME Funds</t>
  </si>
  <si>
    <t>LHC</t>
  </si>
  <si>
    <t>The undersigned Taxpayer or duly authorized representative of the same hereby certifies that the information contained in the Low Income Tax Credit Application Package, including all appendices and Exhibits attached hereto is complete and accurate as of the date hereof.  The undersigned acknowledges that the information provided in this Application package or in any other document, release or communication by the Louisiana Housing Corporation (the "Corporation") has not been relied upon for purpose of making any investment decision by the Taxpayer and that any and all expenses and investments with respect to this application for an allocation of low-income housing tax credits have been or will be made on the basis of an independent judgement by the Taxpayer or upon consultation with a qualified tax consultant.</t>
  </si>
  <si>
    <t xml:space="preserve">The Taxpayer represents that it will furnish promptly such other supporting information, documents and fees as may be requested and/or required.  In carrying out the development and operation of the project, the Taxpayer agrees to comply with all applicable federal and state laws regarding unlawful discrimination and will abide by all Corporation rules and regulations.  The Taxpayer understands and agrees that the Corporation is not responsible for actions taken by the Taxpayer in reliance on a prospective tax credit reservation by the Corporation and the Taxpayer further agrees that the Corporation, its employees, agents and/or consultants shall not be responsible or liable in any manner whatsoever for expenses incurred by Taxpayer or its consultants in applying for low income housing tax credits. </t>
  </si>
  <si>
    <t>The Taxpayer acknowledges that a certification of information contained in this Application will be made as of the date the Corporation reserves or allocates tax credits for the Project and as of the Placed in Service Date of the Project and that the amount of tax credits reserved and/or allocated pursuant to any forward commitment or carry forward allocation may be revised or adjusted in accordance with the feasibility/viability review as of such Placed in Service Date and in accordance with the audit of the Certificate of Actual Costs.  The Taxpayer further acknowledges that the Tax Credit Regulatory Agreement (including the Compliance Monitoring Agreement attached thereto) shall be entered into prior to or simultaneously with the allocation of tax credits by the Corporation or within any year of the compliance period.  The Taxpayer shall hold the Corporation, its employees, agents and/or consultants harmless in connection with any claims of damage which may be filed by the Taxpayer based upon the processing of this Application by the Corporation or its agents, employees and/or consultants.</t>
  </si>
  <si>
    <t xml:space="preserve"> By execution of this Application, the Taxpayer understands and agrees that the Corporation may conduct its own independent review and analysis of the information contained herein and in the attachments hereto, that any such review and analysis will be made for the protection of the Corporation.  It is further understood and agreed by the Taxpayer that, for the purpose of determining and establishing the terms and conditions under which the allocation may be made, the Corporation may request or require adjustment or changes in the information contained herein (including attachments hereto) or in any documentation or materials now or hereafter submitted in connection with this Application.</t>
  </si>
  <si>
    <t>, 2013</t>
  </si>
  <si>
    <t>Have you been awarded 8609's on an LHC Housing Credit projects?</t>
  </si>
  <si>
    <t>I, the undersigned , certify I have developed and have ownership in the above-listed projects and that the information given is true and correct.  I hereby further acknowledge that in reviewing and considering my application, LHC may request additional if necessary.</t>
  </si>
  <si>
    <t>Corporation with which this transaction originated may</t>
  </si>
  <si>
    <t>the Corporation for assistance in obtaining a copy of those</t>
  </si>
  <si>
    <t>authorized by the Corporation.</t>
  </si>
  <si>
    <t>department or Corporation with which this transaction</t>
  </si>
  <si>
    <t>this transaction by any Federal department or Corporation.</t>
  </si>
  <si>
    <t xml:space="preserve">The applicant certifies herein that no taxpayer, its representative or agent, managing general partner, sponsor or management company included in the application has been deemed by the Corporation as being “not in good standing”. One is considered to be “not in good standing” with the Corporation if one has met one or more of the criteria listed in Section II (F) (3) Project Team Disqualification  of the QAP.
</t>
  </si>
  <si>
    <t xml:space="preserve">(Please note:  The Corporation reserves tax credits to the Taxpayer and the managing general partner of the </t>
  </si>
  <si>
    <t>perjury that the following persons are (i) members of the Corporation's Board of Commissioners or Corporation Staff who</t>
  </si>
  <si>
    <t>by the Corporation.</t>
  </si>
  <si>
    <t>Board, staff, consultant or other affiliate of the Corporation.</t>
  </si>
  <si>
    <t>Significant Economic Growth or Industrial Investment</t>
  </si>
  <si>
    <t>Experience of Taxpayer/Owner in developing Projects servicing Special Needs Households</t>
  </si>
  <si>
    <t>Public Housing Agency Project- (as defined in the glossary) Other Governmental Priority (Enterprise Community/ Renewal Community and/or HUB Zone)</t>
  </si>
  <si>
    <t>Other Governmental Priority (Renewal Community and/or HUB Zone)</t>
  </si>
  <si>
    <t>Official Announcement from LED, Governor's Office or Local Jurisdiction</t>
  </si>
  <si>
    <t>Evidence of 25 mile proximity to proposed investment project</t>
  </si>
  <si>
    <t>Other LHC Documents</t>
  </si>
  <si>
    <t>LHC-1</t>
  </si>
  <si>
    <t>LHC-2</t>
  </si>
  <si>
    <t>LHC-3</t>
  </si>
  <si>
    <t>LHC-4</t>
  </si>
  <si>
    <r>
      <t xml:space="preserve">Environmental Checklist </t>
    </r>
    <r>
      <rPr>
        <i/>
        <sz val="10"/>
        <rFont val="Times New Roman"/>
        <family val="1"/>
      </rPr>
      <t>(obtain from LHC website) - only with HOME funding</t>
    </r>
  </si>
  <si>
    <t>Evidence of project to meet FEMA Guidelines dated 4/12/2006 or the most current available for the location of the proposed project for elevation of housing relative to Base Flood Elevation.  New Construction- Architect's certification must be provided for projects located inside a levee protected area.  Rehabilitation- Must submit a Capital Needs Assessment which specifically addressing the current FEMA Guidelines.</t>
  </si>
  <si>
    <t>A disqualification under this subsection (F)(3) will result in the individual or entity
involved not being allowed to participate in the 2014 cycle and removing from
consideration any application where they are identified.</t>
  </si>
  <si>
    <t>5. Tenant Referrals from LRA/OCD, PHAs and the LHC: Taxpayer shall acknowledge and agree to rent low income units to households referred by the LRA/OCD, and/or the local PHA if the tenants referred to the Taxpayer satisfy the requirements of the Project’s Management and/or Operating Plan.</t>
  </si>
  <si>
    <t>NOTE: Points will only be allowed for a new construction scattered site project in areas where there are no LIHTC properties within a 5 mile radius of the proposed project.</t>
  </si>
  <si>
    <t>Rural Area Project (as defined in the QAP glossary)</t>
  </si>
  <si>
    <t>SELECTION CRITERIA AND EVIDENTIARY MATERIALS</t>
  </si>
  <si>
    <t>TARGETED PROJECT TYPE  (Select all that apply. See note for restrictions.)</t>
  </si>
  <si>
    <t xml:space="preserve">Redevelopment Project                                                              </t>
  </si>
  <si>
    <t>(i) New Construction Scattered Site Project</t>
  </si>
  <si>
    <t>(ii) New Construction Scattered Site Lease to Own*</t>
  </si>
  <si>
    <t>*Submit list of each separate address and square footage and costs of each separate building.</t>
  </si>
  <si>
    <t>*Owner must agree to sell units at minimum purchase price by not later than the 16th year of Compliance period.</t>
  </si>
  <si>
    <t>protects the expectations of tenants anticipating title transfer of their units in fee simple absolute or condo or</t>
  </si>
  <si>
    <t>cooperative ownership. Infill projects must be consistent with the definition contained in the QAP.</t>
  </si>
  <si>
    <t xml:space="preserve">Twenty Percent serve such households  </t>
  </si>
  <si>
    <t xml:space="preserve">Ten Percent serve such households </t>
  </si>
  <si>
    <t xml:space="preserve">(i) Description of Supportive Services tailored to each Special Needs Household (See Supportive Services Definitions)
</t>
  </si>
  <si>
    <t>(ii) Costs per annum of Supportive Services per Special Needs Household or written commitment from governmental or non-profit agency that Supportive Services will be provided to Project without cost</t>
  </si>
  <si>
    <t xml:space="preserve">(iii) Experience of Taxpayer/Owner in developing Projects servicing Special Needs Households
</t>
  </si>
  <si>
    <t>Parish Location</t>
  </si>
  <si>
    <t>* Providing an abatement of real estate taxes;</t>
  </si>
  <si>
    <t>(Points in this section are capped by the applicant’s selection and verified through submitted market study)</t>
  </si>
  <si>
    <t>Public Transportation</t>
  </si>
  <si>
    <t>Hospital/Doctor Office</t>
  </si>
  <si>
    <t xml:space="preserve">Elementary School </t>
  </si>
  <si>
    <t>Elementary school receiving a grade "B" or better by the La. Dept. of Education.</t>
  </si>
  <si>
    <t>Adult/Child Day Care/ After School Care</t>
  </si>
  <si>
    <t>Distribution facilities</t>
  </si>
  <si>
    <t>See Glossary for definition of “Green Building.”</t>
  </si>
  <si>
    <t xml:space="preserve">Accessible Units in excess of Section 504 of II C Accessible Project Rehabilitation Act of 1973 (Not Qualified for Selection Criteria II-C Accessible Project) Assume Section 504 applies to all Projects, i.e.,5% of units must be accessible for people with mobility impairments and 2% for people with hearing or vision impairments.
</t>
  </si>
  <si>
    <t>Number of Units:</t>
  </si>
  <si>
    <t xml:space="preserve">more than 8% of the total units but less than or equal to 10% of the total units </t>
  </si>
  <si>
    <t xml:space="preserve">more than 10% of the total units but less than or equal to 15% of the total units </t>
  </si>
  <si>
    <t>more than 15% of the total units</t>
  </si>
  <si>
    <t>Project’s TDC per unit is at least 10% below the maximum TDC/unit</t>
  </si>
  <si>
    <t xml:space="preserve">Does not include Required Exhibits which must be submitted by Application Deadline.  Missing Required Exhibits will result in Application being rejected.
</t>
  </si>
  <si>
    <t>Failure to properly label appendixes in final application submittal</t>
  </si>
  <si>
    <t>120% of the area median income for the MSA</t>
  </si>
  <si>
    <t>150% of the area median income for the MSA</t>
  </si>
  <si>
    <t>High Vacancy Projects (Only one selection allowed - Maximum 6 points allowed)</t>
  </si>
  <si>
    <t>*Points may only be selected from one of the following categories:  Selection Criteria Items I.D New Construction Scattered Site Project, I.E Non Scattered Site Rehabilitation Projects, and I.F. Scattered Site Rehabilitation or Infill Projects.  No project will be allowed points from more than one of the aforementioned categories.</t>
  </si>
  <si>
    <t>New Construction Scattered Site Project (Only one selection allowed - Maximum 4 points)</t>
  </si>
  <si>
    <t>Non Scattered Site Rehabilitation Projects (only one selection allowed - Maximum 8 points allowed)</t>
  </si>
  <si>
    <t>The award is subject to a transactional structure acceptable to the Corporation according to industry best practices that</t>
  </si>
  <si>
    <t xml:space="preserve">cooperative ownership. </t>
  </si>
  <si>
    <t>Preservation Priority Project (Only one selection allowed - Maximum 10 points allowed)</t>
  </si>
  <si>
    <t>Developments with Project Based Section 8 for 100% of the units or federally funded</t>
  </si>
  <si>
    <t>TARGETED POPULATION TYPE (Maximum 13 points allowed)</t>
  </si>
  <si>
    <r>
      <t xml:space="preserve">Special Needs Households must provide </t>
    </r>
    <r>
      <rPr>
        <b/>
        <sz val="8"/>
        <rFont val="Times New Roman"/>
        <family val="1"/>
      </rPr>
      <t>Supportive Services</t>
    </r>
    <r>
      <rPr>
        <sz val="8"/>
        <rFont val="Times New Roman"/>
        <family val="1"/>
      </rPr>
      <t xml:space="preserve">  - this does not apply to Permanent Supportive Housing
(Check one or more of (i), (ii) or (iii) and </t>
    </r>
    <r>
      <rPr>
        <b/>
        <u/>
        <sz val="8"/>
        <rFont val="Times New Roman"/>
        <family val="1"/>
      </rPr>
      <t>one</t>
    </r>
    <r>
      <rPr>
        <sz val="8"/>
        <rFont val="Times New Roman"/>
        <family val="1"/>
      </rPr>
      <t xml:space="preserve"> of (a) or (b) for Special Needs Households)</t>
    </r>
  </si>
  <si>
    <t>(Project must evidence commitment to the project form the Veterans Administration, or a letter of support or</t>
  </si>
  <si>
    <t xml:space="preserve">agreement from a Veteran's provider such as Supportive Services for Veteran's Families (SSVF) or Veterans </t>
  </si>
  <si>
    <t>Administration Health Care Center.)</t>
  </si>
  <si>
    <r>
      <rPr>
        <b/>
        <sz val="10"/>
        <rFont val="Times New Roman"/>
        <family val="1"/>
      </rPr>
      <t>Veterans Households</t>
    </r>
    <r>
      <rPr>
        <sz val="10"/>
        <rFont val="Times New Roman"/>
        <family val="1"/>
      </rPr>
      <t xml:space="preserve">  Fifty Percent or more serve such households</t>
    </r>
  </si>
  <si>
    <t>For Items II.A, B and C under Targeted Population Type application must include the following:</t>
  </si>
  <si>
    <t xml:space="preserve">Project will execute agreement in which Owner irrevocably waives its rights under the provisions of I.R.C. §42(h)(6)(E) and (F) until after the </t>
  </si>
  <si>
    <t>* Lease to own projects ineligible; not eligible if executing Corporation’s Option to Purchase and Right of First Refusal Agreement</t>
  </si>
  <si>
    <t xml:space="preserve">Project Located in Qualified Census Tract (QCT) or Difficult Development Area (DDA)
</t>
  </si>
  <si>
    <t>link: https//www.sba.gov/content/hubzone-maps</t>
  </si>
  <si>
    <t>Delta Parishes Project (as defined in the QAP glossary)</t>
  </si>
  <si>
    <t>Governmental Support (Only one selection allowed - Maximum 4 points allowed)</t>
  </si>
  <si>
    <t xml:space="preserve"> the funds to the project.)</t>
  </si>
  <si>
    <t>(The below referenced Government Funds must be actual "awarded funds" as evidenced by a signed commitment obligating</t>
  </si>
  <si>
    <t xml:space="preserve">*The Market Study for every project must include a separate section that evidences whether the Project satisfies the positive points listed or incurs the negative points listed above.  </t>
  </si>
  <si>
    <t>(Selection and provide support documentation on all that apply)</t>
  </si>
  <si>
    <t>Green Buildings</t>
  </si>
  <si>
    <t>Community Facilities (See Glossary)</t>
  </si>
  <si>
    <t>Optional Amenities (Provide manufacturer cut sheets and/or architecture certification for the selected amenities.</t>
  </si>
  <si>
    <t>(iv)</t>
  </si>
  <si>
    <t>Leverage consists of federal or other funds for persons with disabilities:</t>
  </si>
  <si>
    <t>Leverage for Disability Funding - (Non-Governmental Support)</t>
  </si>
  <si>
    <t>Support documentation from the funding entity and calculations supporting the selection must be included in the application submission</t>
  </si>
  <si>
    <t>De-concentration Projects   (maximum of 20 Points)</t>
  </si>
  <si>
    <r>
      <rPr>
        <b/>
        <sz val="10"/>
        <rFont val="Times New Roman"/>
        <family val="1"/>
      </rPr>
      <t xml:space="preserve">Elderly Households </t>
    </r>
    <r>
      <rPr>
        <sz val="10"/>
        <rFont val="Times New Roman"/>
        <family val="1"/>
      </rPr>
      <t>100% of the project units are designated for elderly households.</t>
    </r>
  </si>
  <si>
    <t>Extended Affordability Agreement (Lease to own projects ineligible*) (Only one selection allowed - Maximum 4 points allowed)</t>
  </si>
  <si>
    <t>Increased Unit Affordability  (Only one selection allowed - Maximum 6 points allowed)</t>
  </si>
  <si>
    <t>*To qualify for points in this section, units must be reflected on the rental income page of the application. Project must evidence ability to maintain lower rate units via rental income, grants or subsidies throughout the projects affordability period.  Only one-and two-bedroom units will qualify as PSH units. To qualify for PSH points (iii) applicant must submit letter of PSH Support from the Executive Director of the Louisiana Housing Authority.</t>
  </si>
  <si>
    <t>Governmental Priorities (Maximum 5 points allowed)</t>
  </si>
  <si>
    <t>* HUB Zone classification must be current as of August 31, 2015 to receive points</t>
  </si>
  <si>
    <t xml:space="preserve">Louisiana classifications may be accessed using the project's census tract through the following </t>
  </si>
  <si>
    <t>(There is no limit on the amount of points that can be deducted for negative neighborhood services.)  Five points each will be deducted if any of the following incompatible uses are adjacent to the site; two points each will be deducted if any of the following incompatible uses listed are within ½ mile of the site with the exception of projects located within 1/2 mile of an electrical utility substation.  Any project adjacent to an electrical utility substation will remain subject to the referenced five-point deduction.</t>
  </si>
  <si>
    <t>Paved walking Trail (minimum 1/4 mile)</t>
  </si>
  <si>
    <t>Additional Accessible Units  (Only one selection allowed - maximum 3 points allowed)</t>
  </si>
  <si>
    <t>As denied in Glossary - If security cameras are provided, a diagram of the proposed location of cameras must be included in the application or points will not be allowed.  At least one camera per every 20 units is required to receive points in this category.  The number of cameras will be rounded up in making this determination.</t>
  </si>
  <si>
    <t>Scattered Site Rehabilitation or Infill Projects (only one selection allowed - Maximum 10 Points)*</t>
  </si>
  <si>
    <t xml:space="preserve">Scattered Site Rehab or Infill </t>
  </si>
  <si>
    <t xml:space="preserve">Scattered Site Rehab or Infill – Lease to Own**    </t>
  </si>
  <si>
    <t xml:space="preserve">(ii) Geographic Diversity:  Project is located in census tract in which the median 
      income of the census tract exceeds one of the following as determined by https://www.ffiec.gov/: 
</t>
  </si>
  <si>
    <t>Redevelopment Project (i.e. Distressed, Redevelopment or Owner Occupied) selected.</t>
  </si>
  <si>
    <t>Documentation must be submitted with the application evidencing that the project meets the requirements for the type of</t>
  </si>
  <si>
    <t xml:space="preserve">*Submit letter from local jurisdiction that unit (residential or non-residential) has been vacant for at least 90 days and is likely to remain vacant because unit is substandard.
* Capital Needs Assessment must evidence inspection of vacant units.  
* Market Study must directly address causes of vacancy, specific need for vacant unit sizes in the market
</t>
  </si>
  <si>
    <t>funded (such as USDA, HUD, or PHA) rental subsidy for at least 20% of the units</t>
  </si>
  <si>
    <t>(such as USDA, HUD, or PHA) rental subsidy or more than 60% of the units</t>
  </si>
  <si>
    <t>funded (such as USDA, HUD, or PHA) rental subsidy but more than 40% of the units</t>
  </si>
  <si>
    <t>Developments with Project Based Section 8 for a maximum of 40% of the units or federally</t>
  </si>
  <si>
    <t xml:space="preserve">Developments with Project Based Section 8 for a maximum of 60% of the units or federally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</si>
</sst>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lt;=9999999]###\-####;\(###\)\ ###\-####"/>
    <numFmt numFmtId="167" formatCode="&quot;$&quot;#,##0"/>
    <numFmt numFmtId="168" formatCode="[$-409]m/d/yy\ h:mm\ AM/PM;@"/>
    <numFmt numFmtId="169" formatCode="&quot;$&quot;#,##0.00"/>
    <numFmt numFmtId="170" formatCode="dd\-mmm\-yy"/>
    <numFmt numFmtId="171" formatCode="_(&quot;$&quot;* #,##0_);_(&quot;$&quot;* \(#,##0\);_(&quot;$&quot;* &quot;-&quot;??_);_(@_)"/>
    <numFmt numFmtId="172" formatCode="0_);[Red]\(0\)"/>
    <numFmt numFmtId="173" formatCode="0.0000"/>
    <numFmt numFmtId="174" formatCode="&quot;$&quot;#,##0.0000_);\(&quot;$&quot;#,##0.0000\)"/>
    <numFmt numFmtId="175" formatCode="0.000%"/>
    <numFmt numFmtId="176" formatCode="dd\-mmm\-yy_)"/>
    <numFmt numFmtId="177" formatCode="_(* #,##0_);_(* \(#,##0\);_(* &quot;-&quot;??_);_(@_)"/>
    <numFmt numFmtId="178" formatCode="[$-409]d\-mmm\-yy;@"/>
    <numFmt numFmtId="179" formatCode="0.0000%"/>
    <numFmt numFmtId="180" formatCode="[$-F800]dddd\,\ mmmm\ dd\,\ yyyy"/>
    <numFmt numFmtId="181" formatCode="[$$-409]#,##0.00"/>
    <numFmt numFmtId="182" formatCode=";;;"/>
  </numFmts>
  <fonts count="118">
    <font>
      <sz val="10"/>
      <name val="Arial"/>
    </font>
    <font>
      <sz val="11"/>
      <color theme="1"/>
      <name val="Calibri"/>
      <family val="2"/>
      <scheme val="minor"/>
    </font>
    <font>
      <sz val="10"/>
      <name val="Arial"/>
      <family val="2"/>
    </font>
    <font>
      <sz val="10"/>
      <color indexed="12"/>
      <name val="Times New Roman"/>
      <family val="1"/>
    </font>
    <font>
      <b/>
      <sz val="12"/>
      <name val="Times New Roman"/>
      <family val="1"/>
    </font>
    <font>
      <sz val="10"/>
      <name val="Times New Roman"/>
      <family val="1"/>
    </font>
    <font>
      <b/>
      <sz val="22"/>
      <name val="Times New Roman"/>
      <family val="1"/>
    </font>
    <font>
      <sz val="12"/>
      <name val="Times New Roman"/>
      <family val="1"/>
    </font>
    <font>
      <sz val="9"/>
      <name val="Times New Roman"/>
      <family val="1"/>
    </font>
    <font>
      <b/>
      <sz val="14"/>
      <name val="Times New Roman"/>
      <family val="1"/>
    </font>
    <font>
      <b/>
      <sz val="10"/>
      <name val="Times New Roman"/>
      <family val="1"/>
    </font>
    <font>
      <b/>
      <sz val="10"/>
      <color indexed="10"/>
      <name val="Times New Roman"/>
      <family val="1"/>
    </font>
    <font>
      <i/>
      <sz val="10"/>
      <name val="Times New Roman"/>
      <family val="1"/>
    </font>
    <font>
      <i/>
      <sz val="24"/>
      <name val="Times New Roman"/>
      <family val="1"/>
    </font>
    <font>
      <sz val="8"/>
      <color indexed="12"/>
      <name val="Times New Roman"/>
      <family val="1"/>
    </font>
    <font>
      <i/>
      <sz val="8"/>
      <name val="Times New Roman"/>
      <family val="1"/>
    </font>
    <font>
      <sz val="9"/>
      <color indexed="12"/>
      <name val="Times New Roman"/>
      <family val="1"/>
    </font>
    <font>
      <b/>
      <sz val="10"/>
      <color indexed="81"/>
      <name val="Times New Roman"/>
      <family val="1"/>
    </font>
    <font>
      <sz val="8"/>
      <color indexed="81"/>
      <name val="Tahoma"/>
      <family val="2"/>
    </font>
    <font>
      <b/>
      <i/>
      <sz val="8"/>
      <name val="Times New Roman"/>
      <family val="1"/>
    </font>
    <font>
      <sz val="8"/>
      <name val="Times New Roman"/>
      <family val="1"/>
    </font>
    <font>
      <b/>
      <sz val="9"/>
      <name val="Times New Roman"/>
      <family val="1"/>
    </font>
    <font>
      <sz val="9"/>
      <color indexed="9"/>
      <name val="Times New Roman"/>
      <family val="1"/>
    </font>
    <font>
      <u/>
      <sz val="10"/>
      <color indexed="12"/>
      <name val="Arial"/>
      <family val="2"/>
    </font>
    <font>
      <b/>
      <sz val="12"/>
      <name val="Arial"/>
      <family val="2"/>
    </font>
    <font>
      <b/>
      <sz val="10"/>
      <name val="Arial"/>
      <family val="2"/>
    </font>
    <font>
      <sz val="10"/>
      <color indexed="9"/>
      <name val="Times New Roman"/>
      <family val="1"/>
    </font>
    <font>
      <b/>
      <i/>
      <sz val="10"/>
      <color indexed="10"/>
      <name val="Times New Roman"/>
      <family val="1"/>
    </font>
    <font>
      <b/>
      <sz val="8"/>
      <color indexed="81"/>
      <name val="Tahoma"/>
      <family val="2"/>
    </font>
    <font>
      <b/>
      <sz val="8"/>
      <name val="Times New Roman"/>
      <family val="1"/>
    </font>
    <font>
      <sz val="10"/>
      <name val="Times New Roman"/>
      <family val="1"/>
    </font>
    <font>
      <sz val="8"/>
      <color indexed="14"/>
      <name val="Times New Roman"/>
      <family val="1"/>
    </font>
    <font>
      <b/>
      <i/>
      <sz val="11"/>
      <name val="Times New Roman"/>
      <family val="1"/>
    </font>
    <font>
      <i/>
      <sz val="11"/>
      <name val="Times New Roman"/>
      <family val="1"/>
    </font>
    <font>
      <sz val="12"/>
      <name val="Arial"/>
      <family val="2"/>
    </font>
    <font>
      <sz val="10"/>
      <name val="Courier"/>
      <family val="3"/>
    </font>
    <font>
      <b/>
      <i/>
      <sz val="12"/>
      <name val="Times New Roman"/>
      <family val="1"/>
    </font>
    <font>
      <b/>
      <i/>
      <sz val="10"/>
      <name val="Times New Roman"/>
      <family val="1"/>
    </font>
    <font>
      <b/>
      <sz val="8"/>
      <color indexed="10"/>
      <name val="Times New Roman"/>
      <family val="1"/>
    </font>
    <font>
      <b/>
      <i/>
      <sz val="10"/>
      <color indexed="53"/>
      <name val="Times New Roman"/>
      <family val="1"/>
    </font>
    <font>
      <b/>
      <i/>
      <sz val="16"/>
      <name val="Times New Roman"/>
      <family val="1"/>
    </font>
    <font>
      <b/>
      <sz val="28"/>
      <name val="Times New Roman"/>
      <family val="1"/>
    </font>
    <font>
      <i/>
      <sz val="12"/>
      <name val="Times New Roman"/>
      <family val="1"/>
    </font>
    <font>
      <sz val="8"/>
      <color indexed="9"/>
      <name val="Times New Roman"/>
      <family val="1"/>
    </font>
    <font>
      <b/>
      <sz val="16"/>
      <name val="Times New Roman"/>
      <family val="1"/>
    </font>
    <font>
      <u/>
      <sz val="10"/>
      <name val="Times New Roman"/>
      <family val="1"/>
    </font>
    <font>
      <b/>
      <u/>
      <sz val="10"/>
      <name val="Times New Roman"/>
      <family val="1"/>
    </font>
    <font>
      <i/>
      <sz val="8"/>
      <color indexed="10"/>
      <name val="Times New Roman"/>
      <family val="1"/>
    </font>
    <font>
      <u/>
      <sz val="10"/>
      <color indexed="12"/>
      <name val="Times New Roman"/>
      <family val="1"/>
    </font>
    <font>
      <i/>
      <sz val="10"/>
      <color indexed="10"/>
      <name val="Times New Roman"/>
      <family val="1"/>
    </font>
    <font>
      <sz val="12"/>
      <color indexed="9"/>
      <name val="Times New Roman"/>
      <family val="1"/>
    </font>
    <font>
      <sz val="8"/>
      <name val="Arial"/>
      <family val="2"/>
    </font>
    <font>
      <sz val="14"/>
      <name val="Times New Roman"/>
      <family val="1"/>
    </font>
    <font>
      <b/>
      <sz val="18"/>
      <name val="Times New Roman"/>
      <family val="1"/>
    </font>
    <font>
      <b/>
      <sz val="14"/>
      <name val="Arial"/>
      <family val="2"/>
    </font>
    <font>
      <b/>
      <i/>
      <sz val="10"/>
      <color indexed="9"/>
      <name val="Times New Roman"/>
      <family val="1"/>
    </font>
    <font>
      <b/>
      <sz val="8"/>
      <color indexed="9"/>
      <name val="Times New Roman"/>
      <family val="1"/>
    </font>
    <font>
      <sz val="10"/>
      <color indexed="9"/>
      <name val="Arial"/>
      <family val="2"/>
    </font>
    <font>
      <b/>
      <i/>
      <sz val="16"/>
      <color indexed="10"/>
      <name val="Times New Roman"/>
      <family val="1"/>
    </font>
    <font>
      <i/>
      <sz val="10"/>
      <color indexed="9"/>
      <name val="Times New Roman"/>
      <family val="1"/>
    </font>
    <font>
      <b/>
      <sz val="10"/>
      <color indexed="9"/>
      <name val="Times New Roman"/>
      <family val="1"/>
    </font>
    <font>
      <sz val="10"/>
      <color indexed="10"/>
      <name val="Times New Roman"/>
      <family val="1"/>
    </font>
    <font>
      <b/>
      <sz val="9"/>
      <color indexed="81"/>
      <name val="Tahoma"/>
      <family val="2"/>
    </font>
    <font>
      <sz val="10"/>
      <name val="Arial"/>
      <family val="2"/>
    </font>
    <font>
      <u/>
      <sz val="10"/>
      <color indexed="12"/>
      <name val="Arial"/>
      <family val="2"/>
    </font>
    <font>
      <i/>
      <sz val="8"/>
      <color indexed="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55"/>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indexed="9"/>
      <name val="Times New Roman"/>
      <family val="1"/>
    </font>
    <font>
      <sz val="14"/>
      <color indexed="10"/>
      <name val="Times New Roman"/>
      <family val="1"/>
    </font>
    <font>
      <b/>
      <sz val="8"/>
      <color indexed="63"/>
      <name val="Times New Roman"/>
      <family val="1"/>
    </font>
    <font>
      <b/>
      <sz val="10"/>
      <color indexed="63"/>
      <name val="Arial"/>
      <family val="2"/>
    </font>
    <font>
      <b/>
      <sz val="28"/>
      <color indexed="62"/>
      <name val="Calibri"/>
      <family val="2"/>
    </font>
    <font>
      <sz val="12"/>
      <color indexed="8"/>
      <name val="Calibri"/>
      <family val="2"/>
    </font>
    <font>
      <i/>
      <sz val="9"/>
      <color indexed="8"/>
      <name val="Calibri"/>
      <family val="2"/>
    </font>
    <font>
      <b/>
      <sz val="12"/>
      <color indexed="62"/>
      <name val="Calibri"/>
      <family val="2"/>
    </font>
    <font>
      <b/>
      <sz val="12"/>
      <color indexed="8"/>
      <name val="Calibri"/>
      <family val="2"/>
    </font>
    <font>
      <b/>
      <i/>
      <sz val="11"/>
      <color indexed="8"/>
      <name val="Calibri"/>
      <family val="2"/>
    </font>
    <font>
      <b/>
      <sz val="9"/>
      <color indexed="8"/>
      <name val="Calibri"/>
      <family val="2"/>
    </font>
    <font>
      <b/>
      <sz val="9"/>
      <color indexed="62"/>
      <name val="Adobe Garamond Pro Bold"/>
      <family val="1"/>
    </font>
    <font>
      <b/>
      <sz val="9"/>
      <color indexed="62"/>
      <name val="Calibri"/>
      <family val="2"/>
    </font>
    <font>
      <sz val="9"/>
      <color indexed="8"/>
      <name val="Calibri"/>
      <family val="2"/>
    </font>
    <font>
      <sz val="8"/>
      <color indexed="8"/>
      <name val="Calibri"/>
      <family val="2"/>
    </font>
    <font>
      <b/>
      <sz val="8"/>
      <color indexed="8"/>
      <name val="Calibri"/>
      <family val="2"/>
    </font>
    <font>
      <sz val="7"/>
      <color indexed="8"/>
      <name val="Calibri"/>
      <family val="2"/>
    </font>
    <font>
      <i/>
      <sz val="11"/>
      <color indexed="8"/>
      <name val="Calibri"/>
      <family val="2"/>
    </font>
    <font>
      <sz val="7"/>
      <color indexed="8"/>
      <name val="Arial Unicode MS"/>
      <family val="2"/>
    </font>
    <font>
      <sz val="10"/>
      <color indexed="8"/>
      <name val="Arial Unicode MS"/>
      <family val="2"/>
    </font>
    <font>
      <b/>
      <sz val="28"/>
      <color indexed="8"/>
      <name val="Calibri"/>
      <family val="2"/>
    </font>
    <font>
      <b/>
      <sz val="24"/>
      <name val="Times New Roman"/>
      <family val="1"/>
    </font>
    <font>
      <strike/>
      <sz val="10"/>
      <name val="Times New Roman"/>
      <family val="1"/>
    </font>
    <font>
      <b/>
      <sz val="14"/>
      <color indexed="8"/>
      <name val="Calibri"/>
      <family val="2"/>
    </font>
    <font>
      <sz val="9"/>
      <color indexed="81"/>
      <name val="Tahoma"/>
      <family val="2"/>
    </font>
    <font>
      <sz val="8"/>
      <color indexed="10"/>
      <name val="Times New Roman"/>
      <family val="1"/>
    </font>
    <font>
      <b/>
      <sz val="12"/>
      <color indexed="10"/>
      <name val="Times New Roman"/>
      <family val="1"/>
    </font>
    <font>
      <b/>
      <sz val="12"/>
      <color indexed="12"/>
      <name val="Times New Roman"/>
      <family val="1"/>
    </font>
    <font>
      <b/>
      <sz val="11"/>
      <name val="Times New Roman"/>
      <family val="1"/>
    </font>
    <font>
      <b/>
      <sz val="10"/>
      <color rgb="FFFF0000"/>
      <name val="Times New Roman"/>
      <family val="1"/>
    </font>
    <font>
      <sz val="10"/>
      <color theme="0"/>
      <name val="Times New Roman"/>
      <family val="1"/>
    </font>
    <font>
      <b/>
      <sz val="8"/>
      <color rgb="FFFF0000"/>
      <name val="Times New Roman"/>
      <family val="1"/>
    </font>
    <font>
      <sz val="8"/>
      <color theme="0"/>
      <name val="Times New Roman"/>
      <family val="1"/>
    </font>
    <font>
      <b/>
      <u/>
      <sz val="8"/>
      <name val="Times New Roman"/>
      <family val="1"/>
    </font>
    <font>
      <sz val="8"/>
      <color rgb="FF000000"/>
      <name val="Tahoma"/>
      <family val="2"/>
    </font>
  </fonts>
  <fills count="36">
    <fill>
      <patternFill patternType="none"/>
    </fill>
    <fill>
      <patternFill patternType="gray125"/>
    </fill>
    <fill>
      <patternFill patternType="solid">
        <fgColor indexed="22"/>
      </patternFill>
    </fill>
    <fill>
      <patternFill patternType="solid">
        <fgColor indexed="29"/>
      </patternFill>
    </fill>
    <fill>
      <patternFill patternType="solid">
        <fgColor indexed="26"/>
      </patternFill>
    </fill>
    <fill>
      <patternFill patternType="solid">
        <fgColor indexed="27"/>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23"/>
      </patternFill>
    </fill>
    <fill>
      <patternFill patternType="solid">
        <fgColor indexed="42"/>
      </patternFill>
    </fill>
    <fill>
      <patternFill patternType="solid">
        <fgColor indexed="22"/>
        <bgColor indexed="22"/>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23"/>
        <bgColor indexed="64"/>
      </patternFill>
    </fill>
    <fill>
      <patternFill patternType="solid">
        <fgColor indexed="42"/>
        <bgColor indexed="22"/>
      </patternFill>
    </fill>
    <fill>
      <patternFill patternType="solid">
        <fgColor indexed="9"/>
        <bgColor indexed="9"/>
      </patternFill>
    </fill>
    <fill>
      <patternFill patternType="solid">
        <fgColor indexed="26"/>
        <bgColor indexed="64"/>
      </patternFill>
    </fill>
    <fill>
      <patternFill patternType="solid">
        <fgColor indexed="22"/>
        <bgColor indexed="64"/>
      </patternFill>
    </fill>
    <fill>
      <patternFill patternType="solid">
        <fgColor indexed="29"/>
        <bgColor indexed="64"/>
      </patternFill>
    </fill>
    <fill>
      <patternFill patternType="solid">
        <fgColor indexed="13"/>
        <bgColor indexed="64"/>
      </patternFill>
    </fill>
    <fill>
      <patternFill patternType="solid">
        <fgColor rgb="FF969696"/>
        <bgColor indexed="64"/>
      </patternFill>
    </fill>
    <fill>
      <patternFill patternType="solid">
        <fgColor rgb="FFFF8080"/>
        <bgColor indexed="64"/>
      </patternFill>
    </fill>
    <fill>
      <patternFill patternType="solid">
        <fgColor rgb="FFFFFF99"/>
        <bgColor indexed="64"/>
      </patternFill>
    </fill>
    <fill>
      <patternFill patternType="solid">
        <fgColor rgb="FFCCCCFF"/>
        <bgColor indexed="64"/>
      </patternFill>
    </fill>
    <fill>
      <patternFill patternType="solid">
        <fgColor theme="0" tint="-0.14996795556505021"/>
        <bgColor indexed="64"/>
      </patternFill>
    </fill>
    <fill>
      <patternFill patternType="solid">
        <fgColor rgb="FFE3E3E3"/>
        <bgColor indexed="64"/>
      </patternFill>
    </fill>
    <fill>
      <patternFill patternType="solid">
        <fgColor rgb="FFCFFFCF"/>
        <bgColor indexed="64"/>
      </patternFill>
    </fill>
  </fills>
  <borders count="175">
    <border>
      <left/>
      <right/>
      <top/>
      <bottom/>
      <diagonal/>
    </border>
    <border>
      <left style="thin">
        <color indexed="55"/>
      </left>
      <right style="thin">
        <color indexed="55"/>
      </right>
      <top style="thin">
        <color indexed="55"/>
      </top>
      <bottom style="thin">
        <color indexed="55"/>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bottom style="thick">
        <color indexed="49"/>
      </bottom>
      <diagonal/>
    </border>
    <border>
      <left/>
      <right/>
      <top/>
      <bottom style="medium">
        <color indexed="49"/>
      </bottom>
      <diagonal/>
    </border>
    <border>
      <left/>
      <right/>
      <top/>
      <bottom style="thin">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8"/>
      </left>
      <right/>
      <top/>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style="double">
        <color indexed="64"/>
      </right>
      <top/>
      <bottom/>
      <diagonal/>
    </border>
    <border>
      <left style="double">
        <color indexed="64"/>
      </left>
      <right/>
      <top/>
      <bottom style="thin">
        <color indexed="64"/>
      </bottom>
      <diagonal/>
    </border>
    <border>
      <left style="double">
        <color indexed="64"/>
      </left>
      <right style="double">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diagonal/>
    </border>
    <border>
      <left/>
      <right style="thin">
        <color indexed="64"/>
      </right>
      <top/>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double">
        <color indexed="64"/>
      </left>
      <right style="thin">
        <color indexed="64"/>
      </right>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thin">
        <color indexed="64"/>
      </right>
      <top style="double">
        <color indexed="64"/>
      </top>
      <bottom/>
      <diagonal/>
    </border>
    <border>
      <left/>
      <right style="thin">
        <color indexed="64"/>
      </right>
      <top style="double">
        <color indexed="64"/>
      </top>
      <bottom/>
      <diagonal/>
    </border>
    <border>
      <left style="double">
        <color indexed="64"/>
      </left>
      <right style="thin">
        <color indexed="64"/>
      </right>
      <top/>
      <bottom style="medium">
        <color indexed="64"/>
      </bottom>
      <diagonal/>
    </border>
    <border>
      <left/>
      <right style="double">
        <color indexed="64"/>
      </right>
      <top/>
      <bottom style="medium">
        <color indexed="64"/>
      </bottom>
      <diagonal/>
    </border>
    <border diagonalUp="1" diagonalDown="1">
      <left style="double">
        <color indexed="64"/>
      </left>
      <right style="thin">
        <color indexed="64"/>
      </right>
      <top style="double">
        <color indexed="64"/>
      </top>
      <bottom style="medium">
        <color indexed="64"/>
      </bottom>
      <diagonal style="thin">
        <color indexed="64"/>
      </diagonal>
    </border>
    <border diagonalUp="1" diagonalDown="1">
      <left/>
      <right style="thin">
        <color indexed="64"/>
      </right>
      <top style="double">
        <color indexed="64"/>
      </top>
      <bottom style="medium">
        <color indexed="64"/>
      </bottom>
      <diagonal style="thin">
        <color indexed="64"/>
      </diagonal>
    </border>
    <border diagonalUp="1" diagonalDown="1">
      <left style="thin">
        <color indexed="64"/>
      </left>
      <right style="thin">
        <color indexed="64"/>
      </right>
      <top style="double">
        <color indexed="64"/>
      </top>
      <bottom style="medium">
        <color indexed="64"/>
      </bottom>
      <diagonal style="thin">
        <color indexed="64"/>
      </diagonal>
    </border>
    <border diagonalUp="1" diagonalDown="1">
      <left style="thin">
        <color indexed="64"/>
      </left>
      <right style="double">
        <color indexed="64"/>
      </right>
      <top style="double">
        <color indexed="64"/>
      </top>
      <bottom style="medium">
        <color indexed="64"/>
      </bottom>
      <diagonal style="thin">
        <color indexed="64"/>
      </diagonal>
    </border>
    <border diagonalUp="1" diagonalDown="1">
      <left style="thin">
        <color indexed="64"/>
      </left>
      <right/>
      <top style="double">
        <color indexed="64"/>
      </top>
      <bottom style="medium">
        <color indexed="64"/>
      </bottom>
      <diagonal style="thin">
        <color indexed="64"/>
      </diagonal>
    </border>
    <border>
      <left style="double">
        <color indexed="64"/>
      </left>
      <right style="double">
        <color indexed="64"/>
      </right>
      <top/>
      <bottom style="medium">
        <color indexed="64"/>
      </bottom>
      <diagonal/>
    </border>
    <border diagonalUp="1" diagonalDown="1">
      <left style="double">
        <color indexed="64"/>
      </left>
      <right style="thin">
        <color indexed="64"/>
      </right>
      <top style="double">
        <color indexed="64"/>
      </top>
      <bottom style="double">
        <color indexed="64"/>
      </bottom>
      <diagonal style="thin">
        <color indexed="64"/>
      </diagonal>
    </border>
    <border diagonalUp="1" diagonalDown="1">
      <left/>
      <right style="double">
        <color indexed="64"/>
      </right>
      <top style="double">
        <color indexed="64"/>
      </top>
      <bottom style="double">
        <color indexed="64"/>
      </bottom>
      <diagonal style="thin">
        <color indexed="64"/>
      </diagonal>
    </border>
    <border diagonalUp="1" diagonalDown="1">
      <left style="double">
        <color indexed="64"/>
      </left>
      <right style="double">
        <color indexed="64"/>
      </right>
      <top style="double">
        <color indexed="64"/>
      </top>
      <bottom style="double">
        <color indexed="64"/>
      </bottom>
      <diagonal style="dashed">
        <color indexed="64"/>
      </diagonal>
    </border>
    <border>
      <left style="medium">
        <color indexed="64"/>
      </left>
      <right/>
      <top/>
      <bottom style="medium">
        <color indexed="64"/>
      </bottom>
      <diagonal/>
    </border>
    <border>
      <left style="double">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double">
        <color indexed="64"/>
      </right>
      <top/>
      <bottom style="thick">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medium">
        <color indexed="64"/>
      </bottom>
      <diagonal/>
    </border>
    <border>
      <left/>
      <right/>
      <top style="thin">
        <color indexed="64"/>
      </top>
      <bottom/>
      <diagonal/>
    </border>
    <border>
      <left/>
      <right style="medium">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bottom style="double">
        <color indexed="64"/>
      </bottom>
      <diagonal/>
    </border>
    <border>
      <left/>
      <right style="double">
        <color indexed="64"/>
      </right>
      <top style="thin">
        <color indexed="64"/>
      </top>
      <bottom style="thin">
        <color indexed="64"/>
      </bottom>
      <diagonal/>
    </border>
    <border>
      <left/>
      <right style="double">
        <color indexed="64"/>
      </right>
      <top style="double">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right/>
      <top style="thin">
        <color indexed="64"/>
      </top>
      <bottom style="double">
        <color indexed="64"/>
      </bottom>
      <diagonal/>
    </border>
    <border>
      <left style="thin">
        <color indexed="8"/>
      </left>
      <right style="thin">
        <color indexed="8"/>
      </right>
      <top style="thin">
        <color indexed="8"/>
      </top>
      <bottom style="thin">
        <color indexed="8"/>
      </bottom>
      <diagonal/>
    </border>
    <border>
      <left/>
      <right style="double">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top/>
      <bottom style="medium">
        <color indexed="64"/>
      </bottom>
      <diagonal/>
    </border>
    <border>
      <left style="double">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double">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diagonalDown="1">
      <left style="thin">
        <color indexed="64"/>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double">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double">
        <color indexed="64"/>
      </top>
      <bottom style="thick">
        <color indexed="64"/>
      </bottom>
      <diagonal/>
    </border>
    <border>
      <left/>
      <right/>
      <top style="double">
        <color indexed="64"/>
      </top>
      <bottom style="thick">
        <color indexed="64"/>
      </bottom>
      <diagonal/>
    </border>
    <border>
      <left/>
      <right style="double">
        <color indexed="64"/>
      </right>
      <top style="double">
        <color indexed="64"/>
      </top>
      <bottom style="thick">
        <color indexed="64"/>
      </bottom>
      <diagonal/>
    </border>
    <border>
      <left style="double">
        <color indexed="64"/>
      </left>
      <right/>
      <top style="thin">
        <color indexed="64"/>
      </top>
      <bottom style="thick">
        <color indexed="64"/>
      </bottom>
      <diagonal/>
    </border>
    <border>
      <left/>
      <right/>
      <top style="thin">
        <color indexed="64"/>
      </top>
      <bottom style="thick">
        <color indexed="64"/>
      </bottom>
      <diagonal/>
    </border>
    <border>
      <left/>
      <right style="double">
        <color indexed="64"/>
      </right>
      <top style="thin">
        <color indexed="64"/>
      </top>
      <bottom style="thick">
        <color indexed="64"/>
      </bottom>
      <diagonal/>
    </border>
    <border>
      <left style="double">
        <color indexed="64"/>
      </left>
      <right/>
      <top style="thick">
        <color indexed="64"/>
      </top>
      <bottom style="double">
        <color indexed="64"/>
      </bottom>
      <diagonal/>
    </border>
    <border>
      <left/>
      <right/>
      <top style="thick">
        <color indexed="64"/>
      </top>
      <bottom style="double">
        <color indexed="64"/>
      </bottom>
      <diagonal/>
    </border>
    <border>
      <left/>
      <right style="double">
        <color indexed="64"/>
      </right>
      <top style="thick">
        <color indexed="64"/>
      </top>
      <bottom style="double">
        <color indexed="64"/>
      </bottom>
      <diagonal/>
    </border>
    <border>
      <left/>
      <right/>
      <top style="thin">
        <color indexed="64"/>
      </top>
      <bottom style="medium">
        <color indexed="64"/>
      </bottom>
      <diagonal/>
    </border>
    <border>
      <left style="thin">
        <color indexed="64"/>
      </left>
      <right style="medium">
        <color indexed="64"/>
      </right>
      <top style="thick">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s>
  <cellStyleXfs count="300">
    <xf numFmtId="0" fontId="0" fillId="0" borderId="0"/>
    <xf numFmtId="0" fontId="66" fillId="2" borderId="0" applyNumberFormat="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9" fillId="15" borderId="1" applyNumberFormat="0" applyAlignment="0" applyProtection="0"/>
    <xf numFmtId="0" fontId="69" fillId="15" borderId="1" applyNumberFormat="0" applyAlignment="0" applyProtection="0"/>
    <xf numFmtId="0" fontId="70" fillId="9" borderId="2" applyNumberFormat="0" applyAlignment="0" applyProtection="0"/>
    <xf numFmtId="0" fontId="70" fillId="9" borderId="2" applyNumberFormat="0" applyAlignment="0" applyProtection="0"/>
    <xf numFmtId="43" fontId="2" fillId="0" borderId="0" applyFont="0" applyFill="0" applyBorder="0" applyAlignment="0" applyProtection="0"/>
    <xf numFmtId="43" fontId="6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3" fillId="0" borderId="0" applyFont="0" applyFill="0" applyBorder="0" applyAlignment="0" applyProtection="0"/>
    <xf numFmtId="167" fontId="2" fillId="0" borderId="3"/>
    <xf numFmtId="0" fontId="71" fillId="0" borderId="0" applyNumberFormat="0" applyFill="0" applyBorder="0" applyAlignment="0" applyProtection="0"/>
    <xf numFmtId="0" fontId="71" fillId="0" borderId="0" applyNumberFormat="0" applyFill="0" applyBorder="0" applyAlignment="0" applyProtection="0"/>
    <xf numFmtId="167" fontId="34" fillId="0" borderId="0" applyBorder="0"/>
    <xf numFmtId="0" fontId="72" fillId="16" borderId="0" applyNumberFormat="0" applyBorder="0" applyAlignment="0" applyProtection="0"/>
    <xf numFmtId="0" fontId="72" fillId="16" borderId="0" applyNumberFormat="0" applyBorder="0" applyAlignment="0" applyProtection="0"/>
    <xf numFmtId="0" fontId="73" fillId="0" borderId="4" applyNumberFormat="0" applyFill="0" applyAlignment="0" applyProtection="0"/>
    <xf numFmtId="0" fontId="73" fillId="0" borderId="4" applyNumberFormat="0" applyFill="0" applyAlignment="0" applyProtection="0"/>
    <xf numFmtId="0" fontId="74" fillId="0" borderId="4"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35" fillId="0" borderId="6">
      <alignment vertical="center"/>
    </xf>
    <xf numFmtId="0" fontId="23" fillId="0" borderId="0" applyNumberFormat="0" applyFill="0" applyBorder="0" applyAlignment="0" applyProtection="0">
      <alignment vertical="top"/>
      <protection locked="0"/>
    </xf>
    <xf numFmtId="0" fontId="76" fillId="6" borderId="1" applyNumberFormat="0" applyAlignment="0" applyProtection="0"/>
    <xf numFmtId="0" fontId="76" fillId="6" borderId="1" applyNumberFormat="0" applyAlignment="0" applyProtection="0"/>
    <xf numFmtId="0" fontId="77" fillId="0" borderId="7" applyNumberFormat="0" applyFill="0" applyAlignment="0" applyProtection="0"/>
    <xf numFmtId="0" fontId="77" fillId="0" borderId="7" applyNumberFormat="0" applyFill="0" applyAlignment="0" applyProtection="0"/>
    <xf numFmtId="38" fontId="25" fillId="0" borderId="0"/>
    <xf numFmtId="0" fontId="78" fillId="6" borderId="0" applyNumberFormat="0" applyBorder="0" applyAlignment="0" applyProtection="0"/>
    <xf numFmtId="0" fontId="78" fillId="6" borderId="0" applyNumberFormat="0" applyBorder="0" applyAlignment="0" applyProtection="0"/>
    <xf numFmtId="0" fontId="63" fillId="0" borderId="0"/>
    <xf numFmtId="0" fontId="63" fillId="0" borderId="0"/>
    <xf numFmtId="0" fontId="66" fillId="0" borderId="0"/>
    <xf numFmtId="0" fontId="63" fillId="0" borderId="0"/>
    <xf numFmtId="0" fontId="63" fillId="0" borderId="0"/>
    <xf numFmtId="0" fontId="66" fillId="0" borderId="0"/>
    <xf numFmtId="0" fontId="30" fillId="0" borderId="0"/>
    <xf numFmtId="0" fontId="30" fillId="0" borderId="0"/>
    <xf numFmtId="0" fontId="30" fillId="0" borderId="0"/>
    <xf numFmtId="0" fontId="2" fillId="4" borderId="1" applyNumberFormat="0" applyFont="0" applyAlignment="0" applyProtection="0"/>
    <xf numFmtId="0" fontId="63" fillId="4" borderId="1" applyNumberFormat="0" applyFont="0" applyAlignment="0" applyProtection="0"/>
    <xf numFmtId="0" fontId="79" fillId="15" borderId="8" applyNumberFormat="0" applyAlignment="0" applyProtection="0"/>
    <xf numFmtId="0" fontId="79" fillId="15" borderId="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63" fillId="0" borderId="0" applyFont="0" applyFill="0" applyBorder="0" applyAlignment="0" applyProtection="0"/>
    <xf numFmtId="176" fontId="35" fillId="17" borderId="9"/>
    <xf numFmtId="0" fontId="80" fillId="0" borderId="0" applyNumberFormat="0" applyFill="0" applyBorder="0" applyAlignment="0" applyProtection="0"/>
    <xf numFmtId="0" fontId="80" fillId="0" borderId="0" applyNumberFormat="0" applyFill="0" applyBorder="0" applyAlignment="0" applyProtection="0"/>
    <xf numFmtId="0" fontId="81" fillId="0" borderId="10" applyNumberFormat="0" applyFill="0" applyAlignment="0" applyProtection="0"/>
    <xf numFmtId="0" fontId="81" fillId="0" borderId="10" applyNumberFormat="0" applyFill="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4" borderId="1" applyNumberFormat="0" applyFont="0" applyAlignment="0" applyProtection="0"/>
    <xf numFmtId="9" fontId="2" fillId="0" borderId="0" applyFont="0" applyFill="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7" fillId="8" borderId="0" applyNumberFormat="0" applyBorder="0" applyAlignment="0" applyProtection="0"/>
    <xf numFmtId="0" fontId="67" fillId="3" borderId="0" applyNumberFormat="0" applyBorder="0" applyAlignment="0" applyProtection="0"/>
    <xf numFmtId="0" fontId="67" fillId="6" borderId="0" applyNumberFormat="0" applyBorder="0" applyAlignment="0" applyProtection="0"/>
    <xf numFmtId="0" fontId="67" fillId="9" borderId="0" applyNumberFormat="0" applyBorder="0" applyAlignment="0" applyProtection="0"/>
    <xf numFmtId="0" fontId="67" fillId="8" borderId="0" applyNumberFormat="0" applyBorder="0" applyAlignment="0" applyProtection="0"/>
    <xf numFmtId="0" fontId="67" fillId="3" borderId="0" applyNumberFormat="0" applyBorder="0" applyAlignment="0" applyProtection="0"/>
    <xf numFmtId="0" fontId="67" fillId="8"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8"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9" fillId="15" borderId="1" applyNumberFormat="0" applyAlignment="0" applyProtection="0"/>
    <xf numFmtId="0" fontId="70" fillId="9" borderId="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7" fontId="2" fillId="0" borderId="3"/>
    <xf numFmtId="167" fontId="2" fillId="0" borderId="3"/>
    <xf numFmtId="167" fontId="2" fillId="0" borderId="3"/>
    <xf numFmtId="167" fontId="2" fillId="0" borderId="3"/>
    <xf numFmtId="167" fontId="2" fillId="0" borderId="3"/>
    <xf numFmtId="167" fontId="2" fillId="0" borderId="3"/>
    <xf numFmtId="167" fontId="2" fillId="0" borderId="3"/>
    <xf numFmtId="167" fontId="2" fillId="0" borderId="3"/>
    <xf numFmtId="167" fontId="2" fillId="0" borderId="3"/>
    <xf numFmtId="167" fontId="2" fillId="0" borderId="3"/>
    <xf numFmtId="167" fontId="2" fillId="0" borderId="3"/>
    <xf numFmtId="167" fontId="2" fillId="0" borderId="3"/>
    <xf numFmtId="167" fontId="2" fillId="0" borderId="3"/>
    <xf numFmtId="167" fontId="2" fillId="0" borderId="3"/>
    <xf numFmtId="167" fontId="2" fillId="0" borderId="3"/>
    <xf numFmtId="167" fontId="2" fillId="0" borderId="3"/>
    <xf numFmtId="167" fontId="2" fillId="0" borderId="3"/>
    <xf numFmtId="167" fontId="2" fillId="0" borderId="3"/>
    <xf numFmtId="167" fontId="2" fillId="0" borderId="3"/>
    <xf numFmtId="167" fontId="2" fillId="0" borderId="3"/>
    <xf numFmtId="167" fontId="2" fillId="0" borderId="3"/>
    <xf numFmtId="0" fontId="71" fillId="0" borderId="0" applyNumberFormat="0" applyFill="0" applyBorder="0" applyAlignment="0" applyProtection="0"/>
    <xf numFmtId="0" fontId="72" fillId="16" borderId="0" applyNumberFormat="0" applyBorder="0" applyAlignment="0" applyProtection="0"/>
    <xf numFmtId="0" fontId="73" fillId="0" borderId="4"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35" fillId="0" borderId="6">
      <alignment vertical="center"/>
    </xf>
    <xf numFmtId="0" fontId="35" fillId="0" borderId="6">
      <alignment vertical="center"/>
    </xf>
    <xf numFmtId="0" fontId="35" fillId="0" borderId="6">
      <alignment vertical="center"/>
    </xf>
    <xf numFmtId="0" fontId="35" fillId="0" borderId="6">
      <alignment vertical="center"/>
    </xf>
    <xf numFmtId="0" fontId="35" fillId="0" borderId="6">
      <alignment vertical="center"/>
    </xf>
    <xf numFmtId="0" fontId="35" fillId="0" borderId="6">
      <alignment vertical="center"/>
    </xf>
    <xf numFmtId="0" fontId="76" fillId="6" borderId="1" applyNumberFormat="0" applyAlignment="0" applyProtection="0"/>
    <xf numFmtId="0" fontId="77" fillId="0" borderId="7" applyNumberFormat="0" applyFill="0" applyAlignment="0" applyProtection="0"/>
    <xf numFmtId="0" fontId="78" fillId="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2" fillId="0" borderId="0"/>
    <xf numFmtId="0" fontId="2" fillId="0" borderId="0"/>
    <xf numFmtId="0" fontId="66" fillId="0" borderId="0"/>
    <xf numFmtId="0" fontId="2" fillId="0" borderId="0"/>
    <xf numFmtId="0" fontId="2" fillId="0" borderId="0"/>
    <xf numFmtId="0" fontId="1" fillId="0" borderId="0"/>
    <xf numFmtId="0" fontId="2" fillId="0" borderId="0"/>
    <xf numFmtId="0" fontId="66" fillId="0" borderId="0"/>
    <xf numFmtId="0" fontId="2" fillId="0" borderId="0"/>
    <xf numFmtId="0" fontId="2" fillId="0" borderId="0"/>
    <xf numFmtId="0" fontId="1" fillId="0" borderId="0"/>
    <xf numFmtId="0" fontId="2" fillId="4" borderId="1" applyNumberFormat="0" applyFont="0" applyAlignment="0" applyProtection="0"/>
    <xf numFmtId="0" fontId="2" fillId="4" borderId="1" applyNumberFormat="0" applyFont="0" applyAlignment="0" applyProtection="0"/>
    <xf numFmtId="0" fontId="2" fillId="4" borderId="1" applyNumberFormat="0" applyFont="0" applyAlignment="0" applyProtection="0"/>
    <xf numFmtId="0" fontId="79" fillId="15" borderId="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35" fillId="17" borderId="9"/>
    <xf numFmtId="176" fontId="35" fillId="17" borderId="9"/>
    <xf numFmtId="176" fontId="35" fillId="17" borderId="9"/>
    <xf numFmtId="176" fontId="35" fillId="17" borderId="9"/>
    <xf numFmtId="176" fontId="35" fillId="17" borderId="9"/>
    <xf numFmtId="176" fontId="35" fillId="17" borderId="9"/>
    <xf numFmtId="0" fontId="80" fillId="0" borderId="0" applyNumberFormat="0" applyFill="0" applyBorder="0" applyAlignment="0" applyProtection="0"/>
    <xf numFmtId="0" fontId="81" fillId="0" borderId="10" applyNumberFormat="0" applyFill="0" applyAlignment="0" applyProtection="0"/>
    <xf numFmtId="0" fontId="82" fillId="0" borderId="0" applyNumberFormat="0" applyFill="0" applyBorder="0" applyAlignment="0" applyProtection="0"/>
    <xf numFmtId="43" fontId="2" fillId="0" borderId="0" applyFont="0" applyFill="0" applyBorder="0" applyAlignment="0" applyProtection="0"/>
    <xf numFmtId="0" fontId="23" fillId="0" borderId="0" applyNumberFormat="0" applyFill="0" applyBorder="0" applyAlignment="0" applyProtection="0">
      <alignment vertical="top"/>
      <protection locked="0"/>
    </xf>
    <xf numFmtId="0" fontId="2" fillId="4" borderId="1" applyNumberFormat="0" applyFont="0" applyAlignment="0" applyProtection="0"/>
  </cellStyleXfs>
  <cellXfs count="1752">
    <xf numFmtId="0" fontId="0" fillId="0" borderId="0" xfId="0"/>
    <xf numFmtId="0" fontId="5" fillId="0" borderId="0" xfId="0" applyFont="1"/>
    <xf numFmtId="0" fontId="5" fillId="0" borderId="0" xfId="0" applyFont="1" applyBorder="1"/>
    <xf numFmtId="0" fontId="5" fillId="0" borderId="0" xfId="0" applyFont="1" applyBorder="1" applyAlignment="1" applyProtection="1">
      <alignment horizontal="centerContinuous" vertical="center"/>
    </xf>
    <xf numFmtId="165" fontId="8" fillId="0" borderId="11" xfId="0" applyNumberFormat="1" applyFont="1" applyFill="1" applyBorder="1" applyAlignment="1" applyProtection="1">
      <alignment horizontal="center"/>
    </xf>
    <xf numFmtId="168" fontId="19" fillId="0" borderId="0" xfId="0" applyNumberFormat="1" applyFont="1" applyFill="1" applyBorder="1" applyAlignment="1" applyProtection="1">
      <alignment horizontal="left"/>
    </xf>
    <xf numFmtId="0" fontId="0" fillId="0" borderId="0" xfId="0" applyAlignment="1">
      <alignment horizontal="center"/>
    </xf>
    <xf numFmtId="4" fontId="0" fillId="0" borderId="0" xfId="0" applyNumberFormat="1"/>
    <xf numFmtId="4" fontId="0" fillId="0" borderId="0" xfId="0" applyNumberFormat="1" applyAlignment="1">
      <alignment horizontal="center"/>
    </xf>
    <xf numFmtId="3" fontId="0" fillId="0" borderId="0" xfId="0" applyNumberFormat="1"/>
    <xf numFmtId="1" fontId="0" fillId="0" borderId="0" xfId="0" applyNumberFormat="1"/>
    <xf numFmtId="0" fontId="0" fillId="18" borderId="0" xfId="0" applyFill="1"/>
    <xf numFmtId="4" fontId="0" fillId="18" borderId="0" xfId="0" applyNumberFormat="1" applyFill="1"/>
    <xf numFmtId="0" fontId="25" fillId="0" borderId="0" xfId="0" applyFont="1" applyAlignment="1">
      <alignment horizontal="center"/>
    </xf>
    <xf numFmtId="170" fontId="25" fillId="0" borderId="0" xfId="0" applyNumberFormat="1" applyFont="1"/>
    <xf numFmtId="1" fontId="25" fillId="0" borderId="0" xfId="0" applyNumberFormat="1" applyFont="1"/>
    <xf numFmtId="0" fontId="0" fillId="0" borderId="0" xfId="0" quotePrefix="1" applyNumberFormat="1"/>
    <xf numFmtId="0" fontId="29" fillId="0" borderId="0" xfId="91" applyFont="1" applyBorder="1"/>
    <xf numFmtId="0" fontId="29" fillId="0" borderId="0" xfId="0" applyFont="1" applyFill="1" applyBorder="1"/>
    <xf numFmtId="0" fontId="20" fillId="0" borderId="0" xfId="0" applyFont="1" applyFill="1" applyBorder="1"/>
    <xf numFmtId="0" fontId="5" fillId="0" borderId="0" xfId="91" applyFont="1" applyBorder="1"/>
    <xf numFmtId="0" fontId="29" fillId="0" borderId="12" xfId="0" applyFont="1" applyFill="1" applyBorder="1"/>
    <xf numFmtId="0" fontId="20" fillId="0" borderId="13" xfId="0" applyFont="1" applyFill="1" applyBorder="1"/>
    <xf numFmtId="0" fontId="5" fillId="0" borderId="13" xfId="91" applyFont="1" applyBorder="1"/>
    <xf numFmtId="0" fontId="29" fillId="0" borderId="14" xfId="0" applyFont="1" applyFill="1" applyBorder="1"/>
    <xf numFmtId="0" fontId="20" fillId="0" borderId="14" xfId="0" applyFont="1" applyFill="1" applyBorder="1"/>
    <xf numFmtId="167" fontId="14" fillId="0" borderId="15" xfId="91" applyNumberFormat="1" applyFont="1" applyBorder="1" applyAlignment="1" applyProtection="1">
      <alignment horizontal="right"/>
    </xf>
    <xf numFmtId="0" fontId="20" fillId="0" borderId="0" xfId="0" quotePrefix="1" applyFont="1" applyFill="1" applyBorder="1" applyAlignment="1">
      <alignment horizontal="left"/>
    </xf>
    <xf numFmtId="0" fontId="29" fillId="0" borderId="16" xfId="0" applyFont="1" applyFill="1" applyBorder="1"/>
    <xf numFmtId="0" fontId="20" fillId="0" borderId="3" xfId="0" applyFont="1" applyFill="1" applyBorder="1"/>
    <xf numFmtId="0" fontId="5" fillId="0" borderId="3" xfId="91" applyFont="1" applyBorder="1"/>
    <xf numFmtId="6" fontId="29" fillId="0" borderId="17" xfId="91" applyNumberFormat="1" applyFont="1" applyBorder="1" applyAlignment="1" applyProtection="1">
      <alignment horizontal="right"/>
    </xf>
    <xf numFmtId="6" fontId="14" fillId="0" borderId="15" xfId="91" applyNumberFormat="1" applyFont="1" applyBorder="1" applyAlignment="1" applyProtection="1">
      <alignment horizontal="right"/>
    </xf>
    <xf numFmtId="0" fontId="5" fillId="0" borderId="18" xfId="91" applyFont="1" applyBorder="1"/>
    <xf numFmtId="0" fontId="5" fillId="0" borderId="19" xfId="91" applyFont="1" applyBorder="1"/>
    <xf numFmtId="6" fontId="20" fillId="0" borderId="17" xfId="91" applyNumberFormat="1" applyFont="1" applyBorder="1" applyAlignment="1" applyProtection="1">
      <alignment horizontal="right"/>
      <protection locked="0"/>
    </xf>
    <xf numFmtId="6" fontId="29" fillId="0" borderId="15" xfId="91" applyNumberFormat="1" applyFont="1" applyBorder="1" applyAlignment="1" applyProtection="1">
      <alignment horizontal="right"/>
      <protection locked="0"/>
    </xf>
    <xf numFmtId="0" fontId="19" fillId="0" borderId="14" xfId="0" applyFont="1" applyFill="1" applyBorder="1"/>
    <xf numFmtId="0" fontId="29" fillId="0" borderId="14" xfId="0" applyFont="1" applyFill="1" applyBorder="1" applyAlignment="1"/>
    <xf numFmtId="0" fontId="20" fillId="0" borderId="14" xfId="0" applyFont="1" applyFill="1" applyBorder="1" applyAlignment="1">
      <alignment horizontal="right"/>
    </xf>
    <xf numFmtId="0" fontId="29" fillId="0" borderId="16" xfId="0" applyFont="1" applyFill="1" applyBorder="1" applyAlignment="1"/>
    <xf numFmtId="6" fontId="20" fillId="0" borderId="17" xfId="91" applyNumberFormat="1" applyFont="1" applyBorder="1" applyAlignment="1" applyProtection="1">
      <alignment horizontal="right"/>
    </xf>
    <xf numFmtId="6" fontId="29" fillId="0" borderId="15" xfId="91" applyNumberFormat="1" applyFont="1" applyBorder="1" applyAlignment="1" applyProtection="1">
      <alignment horizontal="right"/>
    </xf>
    <xf numFmtId="0" fontId="15" fillId="0" borderId="14" xfId="0" applyFont="1" applyFill="1" applyBorder="1"/>
    <xf numFmtId="6" fontId="20" fillId="0" borderId="15" xfId="91" applyNumberFormat="1" applyFont="1" applyBorder="1" applyAlignment="1" applyProtection="1">
      <alignment horizontal="right"/>
    </xf>
    <xf numFmtId="6" fontId="14" fillId="0" borderId="15" xfId="91" applyNumberFormat="1" applyFont="1" applyBorder="1" applyAlignment="1" applyProtection="1">
      <alignment horizontal="right"/>
      <protection locked="0"/>
    </xf>
    <xf numFmtId="0" fontId="10" fillId="0" borderId="18" xfId="91" applyFont="1" applyBorder="1"/>
    <xf numFmtId="0" fontId="10" fillId="0" borderId="18" xfId="91" applyFont="1" applyFill="1" applyBorder="1"/>
    <xf numFmtId="6" fontId="29" fillId="0" borderId="15" xfId="91" applyNumberFormat="1" applyFont="1" applyFill="1" applyBorder="1" applyAlignment="1" applyProtection="1">
      <alignment horizontal="right"/>
    </xf>
    <xf numFmtId="6" fontId="20" fillId="0" borderId="15" xfId="91" applyNumberFormat="1" applyFont="1" applyFill="1" applyBorder="1" applyAlignment="1" applyProtection="1">
      <alignment horizontal="right"/>
    </xf>
    <xf numFmtId="6" fontId="3" fillId="0" borderId="15" xfId="91" applyNumberFormat="1" applyFont="1" applyBorder="1" applyAlignment="1" applyProtection="1">
      <alignment horizontal="right"/>
    </xf>
    <xf numFmtId="0" fontId="29" fillId="0" borderId="14" xfId="0" quotePrefix="1" applyFont="1" applyFill="1" applyBorder="1" applyAlignment="1">
      <alignment horizontal="left"/>
    </xf>
    <xf numFmtId="167" fontId="3" fillId="0" borderId="15" xfId="91" applyNumberFormat="1" applyFont="1" applyBorder="1" applyAlignment="1" applyProtection="1">
      <alignment horizontal="right"/>
    </xf>
    <xf numFmtId="6" fontId="26" fillId="0" borderId="15" xfId="91" applyNumberFormat="1" applyFont="1" applyBorder="1" applyAlignment="1" applyProtection="1">
      <alignment horizontal="right"/>
    </xf>
    <xf numFmtId="0" fontId="20" fillId="0" borderId="14" xfId="0" applyFont="1" applyFill="1" applyBorder="1" applyAlignment="1">
      <alignment horizontal="left"/>
    </xf>
    <xf numFmtId="0" fontId="29" fillId="0" borderId="20" xfId="0" applyFont="1" applyFill="1" applyBorder="1"/>
    <xf numFmtId="0" fontId="31" fillId="0" borderId="21" xfId="0" applyFont="1" applyFill="1" applyBorder="1"/>
    <xf numFmtId="0" fontId="5" fillId="0" borderId="22" xfId="91" applyFont="1" applyBorder="1"/>
    <xf numFmtId="10" fontId="15" fillId="0" borderId="0" xfId="91" applyNumberFormat="1" applyFont="1" applyBorder="1"/>
    <xf numFmtId="6" fontId="29" fillId="0" borderId="23" xfId="91" applyNumberFormat="1" applyFont="1" applyBorder="1" applyAlignment="1" applyProtection="1">
      <alignment horizontal="right"/>
    </xf>
    <xf numFmtId="0" fontId="14" fillId="0" borderId="15" xfId="91" applyFont="1" applyBorder="1" applyAlignment="1" applyProtection="1">
      <alignment horizontal="right"/>
    </xf>
    <xf numFmtId="4" fontId="20" fillId="0" borderId="24" xfId="91" applyNumberFormat="1" applyFont="1" applyBorder="1" applyAlignment="1" applyProtection="1">
      <alignment horizontal="right"/>
    </xf>
    <xf numFmtId="6" fontId="10" fillId="0" borderId="18" xfId="91" applyNumberFormat="1" applyFont="1" applyFill="1" applyBorder="1"/>
    <xf numFmtId="0" fontId="5" fillId="0" borderId="0" xfId="91" applyFont="1"/>
    <xf numFmtId="0" fontId="11" fillId="0" borderId="0" xfId="91" applyFont="1"/>
    <xf numFmtId="0" fontId="29" fillId="0" borderId="0" xfId="91" applyFont="1"/>
    <xf numFmtId="0" fontId="27" fillId="0" borderId="0" xfId="0" applyFont="1"/>
    <xf numFmtId="0" fontId="29" fillId="0" borderId="25" xfId="91" applyFont="1" applyBorder="1" applyAlignment="1">
      <alignment horizontal="center"/>
    </xf>
    <xf numFmtId="0" fontId="32" fillId="0" borderId="12" xfId="0" applyFont="1" applyBorder="1"/>
    <xf numFmtId="0" fontId="5" fillId="0" borderId="26" xfId="0" applyFont="1" applyBorder="1"/>
    <xf numFmtId="167" fontId="5" fillId="0" borderId="27" xfId="0" applyNumberFormat="1" applyFont="1" applyBorder="1"/>
    <xf numFmtId="167" fontId="5" fillId="0" borderId="28" xfId="0" applyNumberFormat="1" applyFont="1" applyBorder="1"/>
    <xf numFmtId="0" fontId="5" fillId="0" borderId="14" xfId="0" applyFont="1" applyBorder="1"/>
    <xf numFmtId="0" fontId="5" fillId="0" borderId="18" xfId="0" applyFont="1" applyBorder="1"/>
    <xf numFmtId="0" fontId="10" fillId="0" borderId="0" xfId="91" applyFont="1"/>
    <xf numFmtId="0" fontId="32" fillId="0" borderId="14" xfId="0" applyFont="1" applyBorder="1"/>
    <xf numFmtId="0" fontId="10" fillId="0" borderId="18" xfId="0" applyFont="1" applyBorder="1"/>
    <xf numFmtId="0" fontId="32" fillId="0" borderId="14" xfId="0" applyFont="1" applyBorder="1" applyAlignment="1">
      <alignment horizontal="left"/>
    </xf>
    <xf numFmtId="0" fontId="5" fillId="0" borderId="14" xfId="0" applyFont="1" applyBorder="1" applyAlignment="1">
      <alignment horizontal="left"/>
    </xf>
    <xf numFmtId="0" fontId="5" fillId="0" borderId="14" xfId="0" quotePrefix="1" applyFont="1" applyBorder="1" applyAlignment="1">
      <alignment horizontal="left"/>
    </xf>
    <xf numFmtId="0" fontId="10" fillId="0" borderId="14" xfId="0" applyFont="1" applyBorder="1"/>
    <xf numFmtId="0" fontId="33" fillId="0" borderId="14" xfId="0" applyFont="1" applyBorder="1"/>
    <xf numFmtId="0" fontId="10" fillId="0" borderId="14" xfId="0" applyFont="1" applyBorder="1" applyAlignment="1">
      <alignment horizontal="left"/>
    </xf>
    <xf numFmtId="0" fontId="12" fillId="0" borderId="14" xfId="0" applyFont="1" applyBorder="1"/>
    <xf numFmtId="0" fontId="5" fillId="0" borderId="20" xfId="0" applyFont="1" applyBorder="1"/>
    <xf numFmtId="0" fontId="5" fillId="0" borderId="22" xfId="0" applyFont="1" applyBorder="1"/>
    <xf numFmtId="167" fontId="20" fillId="0" borderId="27" xfId="0" applyNumberFormat="1" applyFont="1" applyBorder="1"/>
    <xf numFmtId="167" fontId="20" fillId="0" borderId="28" xfId="0" applyNumberFormat="1" applyFont="1" applyBorder="1"/>
    <xf numFmtId="6" fontId="20" fillId="0" borderId="27" xfId="0" applyNumberFormat="1" applyFont="1" applyBorder="1"/>
    <xf numFmtId="6" fontId="20" fillId="0" borderId="29" xfId="0" applyNumberFormat="1" applyFont="1" applyBorder="1"/>
    <xf numFmtId="6" fontId="29" fillId="0" borderId="27" xfId="0" applyNumberFormat="1" applyFont="1" applyBorder="1"/>
    <xf numFmtId="6" fontId="20" fillId="0" borderId="30" xfId="0" applyNumberFormat="1" applyFont="1" applyBorder="1"/>
    <xf numFmtId="6" fontId="29" fillId="0" borderId="30" xfId="0" applyNumberFormat="1" applyFont="1" applyBorder="1"/>
    <xf numFmtId="6" fontId="29" fillId="0" borderId="29" xfId="0" applyNumberFormat="1" applyFont="1" applyBorder="1"/>
    <xf numFmtId="0" fontId="29" fillId="0" borderId="23" xfId="91" applyFont="1" applyFill="1" applyBorder="1" applyAlignment="1" applyProtection="1">
      <alignment horizontal="center"/>
    </xf>
    <xf numFmtId="0" fontId="29" fillId="0" borderId="24" xfId="91" applyFont="1" applyFill="1" applyBorder="1" applyAlignment="1" applyProtection="1">
      <alignment horizontal="center"/>
      <protection locked="0"/>
    </xf>
    <xf numFmtId="6" fontId="20" fillId="0" borderId="18" xfId="0" applyNumberFormat="1" applyFont="1" applyBorder="1"/>
    <xf numFmtId="6" fontId="20" fillId="0" borderId="14" xfId="0" applyNumberFormat="1" applyFont="1" applyBorder="1"/>
    <xf numFmtId="2" fontId="20" fillId="0" borderId="20" xfId="0" applyNumberFormat="1" applyFont="1" applyBorder="1" applyAlignment="1">
      <alignment horizontal="center"/>
    </xf>
    <xf numFmtId="0" fontId="20" fillId="0" borderId="22" xfId="0" applyFont="1" applyBorder="1" applyAlignment="1">
      <alignment horizontal="center"/>
    </xf>
    <xf numFmtId="165" fontId="21" fillId="0" borderId="11" xfId="0" applyNumberFormat="1" applyFont="1" applyFill="1" applyBorder="1" applyAlignment="1" applyProtection="1">
      <alignment horizontal="center"/>
    </xf>
    <xf numFmtId="165" fontId="29" fillId="0" borderId="11" xfId="0" applyNumberFormat="1" applyFont="1" applyFill="1" applyBorder="1" applyAlignment="1" applyProtection="1">
      <alignment horizontal="center"/>
    </xf>
    <xf numFmtId="4" fontId="29" fillId="0" borderId="11" xfId="0" applyNumberFormat="1" applyFont="1" applyFill="1" applyBorder="1" applyAlignment="1" applyProtection="1">
      <alignment horizontal="center"/>
    </xf>
    <xf numFmtId="0" fontId="29" fillId="0" borderId="12" xfId="0" applyFont="1" applyFill="1" applyBorder="1" applyAlignment="1"/>
    <xf numFmtId="0" fontId="5" fillId="0" borderId="26" xfId="91" applyFont="1" applyBorder="1"/>
    <xf numFmtId="6" fontId="14" fillId="0" borderId="23" xfId="91" applyNumberFormat="1" applyFont="1" applyBorder="1" applyAlignment="1" applyProtection="1">
      <alignment horizontal="right"/>
    </xf>
    <xf numFmtId="3" fontId="20" fillId="19" borderId="11" xfId="0" applyNumberFormat="1" applyFont="1" applyFill="1" applyBorder="1" applyAlignment="1" applyProtection="1">
      <alignment horizontal="center"/>
      <protection locked="0"/>
    </xf>
    <xf numFmtId="167" fontId="20" fillId="19" borderId="11" xfId="0" applyNumberFormat="1" applyFont="1" applyFill="1" applyBorder="1" applyAlignment="1" applyProtection="1">
      <alignment horizontal="center"/>
      <protection locked="0"/>
    </xf>
    <xf numFmtId="3" fontId="20" fillId="19" borderId="11" xfId="0" applyNumberFormat="1" applyFont="1" applyFill="1" applyBorder="1" applyAlignment="1" applyProtection="1">
      <protection locked="0"/>
    </xf>
    <xf numFmtId="167" fontId="20" fillId="19" borderId="11" xfId="0" applyNumberFormat="1" applyFont="1" applyFill="1" applyBorder="1" applyAlignment="1" applyProtection="1">
      <protection locked="0"/>
    </xf>
    <xf numFmtId="4" fontId="20" fillId="19" borderId="11" xfId="0" applyNumberFormat="1" applyFont="1" applyFill="1" applyBorder="1" applyAlignment="1" applyProtection="1">
      <alignment horizontal="center"/>
      <protection locked="0"/>
    </xf>
    <xf numFmtId="167" fontId="5" fillId="19" borderId="31" xfId="0" applyNumberFormat="1" applyFont="1" applyFill="1" applyBorder="1" applyAlignment="1" applyProtection="1">
      <alignment horizontal="center"/>
      <protection locked="0"/>
    </xf>
    <xf numFmtId="167" fontId="5" fillId="19" borderId="32" xfId="0" applyNumberFormat="1" applyFont="1" applyFill="1" applyBorder="1" applyAlignment="1" applyProtection="1">
      <alignment horizontal="center"/>
      <protection locked="0"/>
    </xf>
    <xf numFmtId="167" fontId="5" fillId="19" borderId="33" xfId="0" applyNumberFormat="1" applyFont="1" applyFill="1" applyBorder="1" applyAlignment="1" applyProtection="1">
      <alignment horizontal="center"/>
      <protection locked="0"/>
    </xf>
    <xf numFmtId="167" fontId="5" fillId="19" borderId="34" xfId="0" applyNumberFormat="1" applyFont="1" applyFill="1" applyBorder="1" applyAlignment="1" applyProtection="1">
      <alignment horizontal="center"/>
      <protection locked="0"/>
    </xf>
    <xf numFmtId="167" fontId="5" fillId="19" borderId="35" xfId="0" applyNumberFormat="1" applyFont="1" applyFill="1" applyBorder="1" applyAlignment="1" applyProtection="1">
      <alignment horizontal="center"/>
      <protection locked="0"/>
    </xf>
    <xf numFmtId="167" fontId="5" fillId="19" borderId="36" xfId="0" applyNumberFormat="1" applyFont="1" applyFill="1" applyBorder="1" applyAlignment="1" applyProtection="1">
      <alignment horizontal="center"/>
      <protection locked="0"/>
    </xf>
    <xf numFmtId="167" fontId="5" fillId="19" borderId="37" xfId="0" applyNumberFormat="1" applyFont="1" applyFill="1" applyBorder="1" applyAlignment="1" applyProtection="1">
      <alignment horizontal="center"/>
      <protection locked="0"/>
    </xf>
    <xf numFmtId="167" fontId="5" fillId="19" borderId="38" xfId="0" applyNumberFormat="1" applyFont="1" applyFill="1" applyBorder="1" applyAlignment="1" applyProtection="1">
      <alignment horizontal="center"/>
      <protection locked="0"/>
    </xf>
    <xf numFmtId="167" fontId="5" fillId="19" borderId="39" xfId="0" applyNumberFormat="1" applyFont="1" applyFill="1" applyBorder="1" applyAlignment="1" applyProtection="1">
      <alignment horizontal="center"/>
      <protection locked="0"/>
    </xf>
    <xf numFmtId="174" fontId="5" fillId="0" borderId="40" xfId="0" applyNumberFormat="1" applyFont="1" applyBorder="1" applyAlignment="1" applyProtection="1">
      <alignment horizontal="right"/>
    </xf>
    <xf numFmtId="37" fontId="10" fillId="0" borderId="0" xfId="0" applyNumberFormat="1" applyFont="1" applyBorder="1" applyProtection="1"/>
    <xf numFmtId="0" fontId="5" fillId="0" borderId="0" xfId="0" applyFont="1" applyBorder="1" applyProtection="1"/>
    <xf numFmtId="174" fontId="10" fillId="0" borderId="0" xfId="0" applyNumberFormat="1" applyFont="1" applyBorder="1" applyProtection="1"/>
    <xf numFmtId="37" fontId="10" fillId="0" borderId="41" xfId="0" applyNumberFormat="1" applyFont="1" applyFill="1" applyBorder="1" applyProtection="1"/>
    <xf numFmtId="174" fontId="10" fillId="0" borderId="42" xfId="0" applyNumberFormat="1" applyFont="1" applyBorder="1" applyProtection="1"/>
    <xf numFmtId="174" fontId="5" fillId="0" borderId="42" xfId="0" applyNumberFormat="1" applyFont="1" applyBorder="1" applyProtection="1"/>
    <xf numFmtId="37" fontId="10" fillId="0" borderId="43" xfId="0" applyNumberFormat="1" applyFont="1" applyFill="1" applyBorder="1" applyProtection="1"/>
    <xf numFmtId="174" fontId="37" fillId="0" borderId="0" xfId="0" applyNumberFormat="1" applyFont="1" applyBorder="1" applyProtection="1"/>
    <xf numFmtId="0" fontId="10" fillId="0" borderId="21" xfId="0" applyFont="1" applyBorder="1" applyProtection="1"/>
    <xf numFmtId="0" fontId="5" fillId="0" borderId="21" xfId="0" applyFont="1" applyBorder="1" applyProtection="1"/>
    <xf numFmtId="0" fontId="29" fillId="20" borderId="25" xfId="91" applyFont="1" applyFill="1" applyBorder="1" applyAlignment="1">
      <alignment horizontal="centerContinuous"/>
    </xf>
    <xf numFmtId="0" fontId="32" fillId="20" borderId="44" xfId="0" applyFont="1" applyFill="1" applyBorder="1"/>
    <xf numFmtId="0" fontId="10" fillId="20" borderId="45" xfId="0" applyFont="1" applyFill="1" applyBorder="1"/>
    <xf numFmtId="6" fontId="29" fillId="20" borderId="46" xfId="0" applyNumberFormat="1" applyFont="1" applyFill="1" applyBorder="1"/>
    <xf numFmtId="6" fontId="29" fillId="20" borderId="47" xfId="0" applyNumberFormat="1" applyFont="1" applyFill="1" applyBorder="1"/>
    <xf numFmtId="6" fontId="20" fillId="19" borderId="15" xfId="91" applyNumberFormat="1" applyFont="1" applyFill="1" applyBorder="1" applyAlignment="1" applyProtection="1">
      <alignment horizontal="right"/>
      <protection locked="0"/>
    </xf>
    <xf numFmtId="0" fontId="29" fillId="20" borderId="44" xfId="0" applyFont="1" applyFill="1" applyBorder="1" applyAlignment="1"/>
    <xf numFmtId="0" fontId="29" fillId="20" borderId="48" xfId="0" applyFont="1" applyFill="1" applyBorder="1"/>
    <xf numFmtId="0" fontId="10" fillId="20" borderId="45" xfId="91" applyFont="1" applyFill="1" applyBorder="1"/>
    <xf numFmtId="6" fontId="10" fillId="20" borderId="25" xfId="91" applyNumberFormat="1" applyFont="1" applyFill="1" applyBorder="1" applyAlignment="1" applyProtection="1">
      <alignment horizontal="right"/>
    </xf>
    <xf numFmtId="6" fontId="29" fillId="20" borderId="25" xfId="91" applyNumberFormat="1" applyFont="1" applyFill="1" applyBorder="1" applyAlignment="1" applyProtection="1">
      <alignment horizontal="right"/>
    </xf>
    <xf numFmtId="0" fontId="8" fillId="0" borderId="35" xfId="0" applyFont="1" applyBorder="1" applyAlignment="1" applyProtection="1">
      <alignment horizontal="center"/>
    </xf>
    <xf numFmtId="0" fontId="21" fillId="20" borderId="44" xfId="0" applyFont="1" applyFill="1" applyBorder="1" applyAlignment="1" applyProtection="1"/>
    <xf numFmtId="0" fontId="20" fillId="20" borderId="49" xfId="0" applyFont="1" applyFill="1" applyBorder="1" applyAlignment="1" applyProtection="1">
      <alignment horizontal="center" wrapText="1"/>
    </xf>
    <xf numFmtId="0" fontId="20" fillId="20" borderId="50" xfId="0" applyFont="1" applyFill="1" applyBorder="1" applyAlignment="1" applyProtection="1">
      <alignment horizontal="center" wrapText="1"/>
    </xf>
    <xf numFmtId="14" fontId="10" fillId="0" borderId="51" xfId="0" applyNumberFormat="1" applyFont="1" applyBorder="1" applyProtection="1"/>
    <xf numFmtId="0" fontId="37" fillId="0" borderId="0" xfId="0" applyFont="1" applyBorder="1" applyProtection="1"/>
    <xf numFmtId="174" fontId="10" fillId="20" borderId="44" xfId="0" applyNumberFormat="1" applyFont="1" applyFill="1" applyBorder="1" applyAlignment="1" applyProtection="1">
      <alignment horizontal="left"/>
    </xf>
    <xf numFmtId="0" fontId="29" fillId="0" borderId="20" xfId="0" applyFont="1" applyFill="1" applyBorder="1" applyAlignment="1"/>
    <xf numFmtId="0" fontId="20" fillId="0" borderId="21" xfId="0" applyFont="1" applyFill="1" applyBorder="1"/>
    <xf numFmtId="6" fontId="20" fillId="0" borderId="24" xfId="91" applyNumberFormat="1" applyFont="1" applyBorder="1" applyAlignment="1" applyProtection="1">
      <alignment horizontal="right"/>
    </xf>
    <xf numFmtId="167" fontId="5" fillId="0" borderId="30" xfId="0" applyNumberFormat="1" applyFont="1" applyBorder="1"/>
    <xf numFmtId="6" fontId="29" fillId="20" borderId="49" xfId="0" applyNumberFormat="1" applyFont="1" applyFill="1" applyBorder="1"/>
    <xf numFmtId="167" fontId="20" fillId="0" borderId="30" xfId="0" applyNumberFormat="1" applyFont="1" applyFill="1" applyBorder="1" applyAlignment="1" applyProtection="1">
      <alignment horizontal="center"/>
    </xf>
    <xf numFmtId="167" fontId="20" fillId="19" borderId="11" xfId="0" applyNumberFormat="1" applyFont="1" applyFill="1" applyBorder="1" applyAlignment="1" applyProtection="1">
      <alignment horizontal="center" vertical="center"/>
      <protection locked="0"/>
    </xf>
    <xf numFmtId="167" fontId="15" fillId="19" borderId="31" xfId="0" applyNumberFormat="1" applyFont="1" applyFill="1" applyBorder="1" applyAlignment="1" applyProtection="1">
      <alignment horizontal="center"/>
      <protection locked="0"/>
    </xf>
    <xf numFmtId="3" fontId="15" fillId="19" borderId="52" xfId="0" applyNumberFormat="1" applyFont="1" applyFill="1" applyBorder="1" applyAlignment="1" applyProtection="1">
      <alignment horizontal="center"/>
      <protection locked="0"/>
    </xf>
    <xf numFmtId="167" fontId="15" fillId="19" borderId="34" xfId="0" applyNumberFormat="1" applyFont="1" applyFill="1" applyBorder="1" applyAlignment="1" applyProtection="1">
      <alignment horizontal="center"/>
      <protection locked="0"/>
    </xf>
    <xf numFmtId="3" fontId="15" fillId="19" borderId="53" xfId="0" applyNumberFormat="1" applyFont="1" applyFill="1" applyBorder="1" applyAlignment="1" applyProtection="1">
      <alignment horizontal="center"/>
      <protection locked="0"/>
    </xf>
    <xf numFmtId="167" fontId="15" fillId="19" borderId="37" xfId="0" applyNumberFormat="1" applyFont="1" applyFill="1" applyBorder="1" applyAlignment="1" applyProtection="1">
      <alignment horizontal="center"/>
      <protection locked="0"/>
    </xf>
    <xf numFmtId="3" fontId="15" fillId="19" borderId="54" xfId="0" applyNumberFormat="1" applyFont="1" applyFill="1" applyBorder="1" applyAlignment="1" applyProtection="1">
      <alignment horizontal="center"/>
      <protection locked="0"/>
    </xf>
    <xf numFmtId="6" fontId="20" fillId="21" borderId="15" xfId="91" applyNumberFormat="1" applyFont="1" applyFill="1" applyBorder="1" applyAlignment="1" applyProtection="1">
      <alignment horizontal="right"/>
      <protection locked="0"/>
    </xf>
    <xf numFmtId="3" fontId="5" fillId="0" borderId="0" xfId="0" applyNumberFormat="1" applyFont="1"/>
    <xf numFmtId="0" fontId="11" fillId="0" borderId="0" xfId="91" applyFont="1" applyBorder="1"/>
    <xf numFmtId="0" fontId="4" fillId="0" borderId="0" xfId="91" applyFont="1" applyBorder="1"/>
    <xf numFmtId="0" fontId="10" fillId="0" borderId="27" xfId="91" applyFont="1" applyFill="1" applyBorder="1" applyAlignment="1">
      <alignment horizontal="center"/>
    </xf>
    <xf numFmtId="0" fontId="5" fillId="0" borderId="55" xfId="0" applyFont="1" applyBorder="1" applyAlignment="1">
      <alignment horizontal="left"/>
    </xf>
    <xf numFmtId="169" fontId="5" fillId="0" borderId="35" xfId="91" applyNumberFormat="1" applyFont="1" applyFill="1" applyBorder="1" applyAlignment="1">
      <alignment horizontal="center"/>
    </xf>
    <xf numFmtId="169" fontId="5" fillId="0" borderId="56" xfId="91" applyNumberFormat="1" applyFont="1" applyFill="1" applyBorder="1" applyAlignment="1">
      <alignment horizontal="center"/>
    </xf>
    <xf numFmtId="169" fontId="5" fillId="0" borderId="11" xfId="91" applyNumberFormat="1" applyFont="1" applyBorder="1" applyAlignment="1">
      <alignment horizontal="center"/>
    </xf>
    <xf numFmtId="0" fontId="5" fillId="0" borderId="0" xfId="91" applyFont="1" applyAlignment="1">
      <alignment horizontal="left"/>
    </xf>
    <xf numFmtId="0" fontId="5" fillId="0" borderId="0" xfId="91" applyFont="1" applyAlignment="1"/>
    <xf numFmtId="0" fontId="10" fillId="0" borderId="0" xfId="91" applyFont="1" applyBorder="1"/>
    <xf numFmtId="0" fontId="5" fillId="0" borderId="55" xfId="91" applyFont="1" applyBorder="1"/>
    <xf numFmtId="0" fontId="20" fillId="0" borderId="57" xfId="91" applyFont="1" applyBorder="1"/>
    <xf numFmtId="0" fontId="10" fillId="20" borderId="11" xfId="91" applyFont="1" applyFill="1" applyBorder="1" applyAlignment="1">
      <alignment horizontal="center"/>
    </xf>
    <xf numFmtId="0" fontId="5" fillId="0" borderId="57" xfId="91" applyFont="1" applyBorder="1"/>
    <xf numFmtId="0" fontId="5" fillId="0" borderId="56" xfId="91" applyFont="1" applyBorder="1"/>
    <xf numFmtId="0" fontId="3" fillId="19" borderId="57" xfId="91" applyFont="1" applyFill="1" applyBorder="1" applyProtection="1">
      <protection locked="0"/>
    </xf>
    <xf numFmtId="0" fontId="3" fillId="19" borderId="56" xfId="0" applyFont="1" applyFill="1" applyBorder="1" applyProtection="1">
      <protection locked="0"/>
    </xf>
    <xf numFmtId="0" fontId="5" fillId="0" borderId="53" xfId="0" applyFont="1" applyBorder="1"/>
    <xf numFmtId="0" fontId="5" fillId="0" borderId="56" xfId="0" applyFont="1" applyBorder="1"/>
    <xf numFmtId="0" fontId="5" fillId="0" borderId="57" xfId="0" applyFont="1" applyBorder="1"/>
    <xf numFmtId="169" fontId="5" fillId="0" borderId="56" xfId="91" applyNumberFormat="1" applyFont="1" applyBorder="1" applyAlignment="1">
      <alignment horizontal="center"/>
    </xf>
    <xf numFmtId="0" fontId="5" fillId="0" borderId="11" xfId="0" applyFont="1" applyFill="1" applyBorder="1" applyProtection="1"/>
    <xf numFmtId="0" fontId="10" fillId="0" borderId="11" xfId="0" applyFont="1" applyFill="1" applyBorder="1" applyProtection="1"/>
    <xf numFmtId="169" fontId="5" fillId="19" borderId="11" xfId="91" applyNumberFormat="1" applyFont="1" applyFill="1" applyBorder="1" applyAlignment="1" applyProtection="1">
      <alignment horizontal="center"/>
      <protection locked="0"/>
    </xf>
    <xf numFmtId="169" fontId="10" fillId="0" borderId="35" xfId="91" applyNumberFormat="1" applyFont="1" applyFill="1" applyBorder="1" applyAlignment="1">
      <alignment horizontal="center"/>
    </xf>
    <xf numFmtId="169" fontId="5" fillId="19" borderId="11" xfId="0" applyNumberFormat="1" applyFont="1" applyFill="1" applyBorder="1" applyAlignment="1" applyProtection="1">
      <alignment horizontal="center"/>
      <protection locked="0"/>
    </xf>
    <xf numFmtId="0" fontId="5" fillId="0" borderId="0" xfId="0" applyFont="1" applyProtection="1"/>
    <xf numFmtId="0" fontId="9" fillId="0" borderId="0" xfId="0" applyFont="1" applyBorder="1" applyProtection="1"/>
    <xf numFmtId="0" fontId="4" fillId="0" borderId="0" xfId="0" applyFont="1" applyBorder="1" applyProtection="1"/>
    <xf numFmtId="0" fontId="10" fillId="0" borderId="0" xfId="0" applyFont="1" applyBorder="1" applyAlignment="1" applyProtection="1">
      <alignment horizontal="left"/>
    </xf>
    <xf numFmtId="0" fontId="5" fillId="0" borderId="0" xfId="0" applyFont="1" applyBorder="1" applyAlignment="1" applyProtection="1">
      <alignment horizontal="right"/>
    </xf>
    <xf numFmtId="0" fontId="10" fillId="0" borderId="0" xfId="0" applyFont="1" applyBorder="1" applyAlignment="1" applyProtection="1">
      <alignment horizontal="right"/>
    </xf>
    <xf numFmtId="0" fontId="5" fillId="0" borderId="0" xfId="0" applyFont="1" applyFill="1" applyBorder="1" applyProtection="1"/>
    <xf numFmtId="0" fontId="12" fillId="0" borderId="0" xfId="0" applyFont="1" applyBorder="1" applyProtection="1"/>
    <xf numFmtId="0" fontId="15" fillId="0" borderId="0" xfId="0" applyFont="1" applyBorder="1" applyProtection="1"/>
    <xf numFmtId="0" fontId="10" fillId="0" borderId="0" xfId="0" applyFont="1" applyBorder="1" applyProtection="1"/>
    <xf numFmtId="0" fontId="10" fillId="20" borderId="44" xfId="0" applyFont="1" applyFill="1" applyBorder="1" applyProtection="1"/>
    <xf numFmtId="0" fontId="10" fillId="20" borderId="48" xfId="0" applyFont="1" applyFill="1" applyBorder="1" applyProtection="1"/>
    <xf numFmtId="0" fontId="5" fillId="20" borderId="58" xfId="0" applyFont="1" applyFill="1" applyBorder="1" applyProtection="1"/>
    <xf numFmtId="0" fontId="5" fillId="20" borderId="48" xfId="0" applyFont="1" applyFill="1" applyBorder="1" applyProtection="1"/>
    <xf numFmtId="0" fontId="5" fillId="20" borderId="45" xfId="0" applyFont="1" applyFill="1" applyBorder="1" applyProtection="1"/>
    <xf numFmtId="0" fontId="16" fillId="0" borderId="0" xfId="0" applyFont="1" applyFill="1" applyBorder="1" applyAlignment="1" applyProtection="1">
      <alignment horizontal="center"/>
    </xf>
    <xf numFmtId="0" fontId="26" fillId="0" borderId="0" xfId="0" applyFont="1" applyBorder="1" applyProtection="1"/>
    <xf numFmtId="0" fontId="8" fillId="0" borderId="0" xfId="0" applyFont="1" applyBorder="1" applyProtection="1"/>
    <xf numFmtId="0" fontId="8" fillId="0" borderId="0" xfId="0" applyFont="1" applyProtection="1"/>
    <xf numFmtId="0" fontId="22" fillId="0" borderId="0" xfId="0" applyFont="1" applyFill="1" applyBorder="1" applyAlignment="1" applyProtection="1">
      <alignment horizontal="center"/>
    </xf>
    <xf numFmtId="0" fontId="10" fillId="20" borderId="44" xfId="0" applyFont="1" applyFill="1" applyBorder="1" applyAlignment="1" applyProtection="1">
      <alignment horizontal="left"/>
    </xf>
    <xf numFmtId="2" fontId="8" fillId="0" borderId="0" xfId="0" applyNumberFormat="1" applyFont="1" applyBorder="1" applyProtection="1"/>
    <xf numFmtId="0" fontId="8" fillId="0" borderId="0" xfId="0" applyFont="1" applyFill="1" applyBorder="1" applyProtection="1"/>
    <xf numFmtId="0" fontId="11" fillId="0" borderId="0" xfId="0" applyFont="1" applyBorder="1" applyProtection="1"/>
    <xf numFmtId="0" fontId="10" fillId="20" borderId="49" xfId="0" applyFont="1" applyFill="1" applyBorder="1" applyProtection="1"/>
    <xf numFmtId="0" fontId="20" fillId="0" borderId="35" xfId="0" applyFont="1" applyBorder="1" applyAlignment="1" applyProtection="1">
      <alignment horizontal="center"/>
    </xf>
    <xf numFmtId="0" fontId="20" fillId="19" borderId="59" xfId="0" applyFont="1" applyFill="1" applyBorder="1" applyProtection="1">
      <protection locked="0"/>
    </xf>
    <xf numFmtId="165" fontId="20" fillId="0" borderId="11" xfId="0" applyNumberFormat="1" applyFont="1" applyFill="1" applyBorder="1" applyAlignment="1" applyProtection="1">
      <alignment horizontal="center"/>
    </xf>
    <xf numFmtId="0" fontId="20" fillId="19" borderId="60" xfId="0" applyFont="1" applyFill="1" applyBorder="1" applyProtection="1">
      <protection locked="0"/>
    </xf>
    <xf numFmtId="0" fontId="20" fillId="19" borderId="61" xfId="0" applyFont="1" applyFill="1" applyBorder="1" applyProtection="1">
      <protection locked="0"/>
    </xf>
    <xf numFmtId="165" fontId="21" fillId="0" borderId="0" xfId="0" applyNumberFormat="1" applyFont="1" applyFill="1" applyBorder="1" applyAlignment="1" applyProtection="1">
      <alignment horizontal="center"/>
    </xf>
    <xf numFmtId="4" fontId="29" fillId="0" borderId="0" xfId="0" applyNumberFormat="1" applyFont="1" applyFill="1" applyBorder="1" applyAlignment="1" applyProtection="1">
      <alignment horizontal="center"/>
    </xf>
    <xf numFmtId="0" fontId="37" fillId="0" borderId="0" xfId="0" applyFont="1" applyBorder="1" applyAlignment="1" applyProtection="1">
      <alignment horizontal="right"/>
    </xf>
    <xf numFmtId="0" fontId="13" fillId="0" borderId="0" xfId="0" applyFont="1" applyBorder="1" applyAlignment="1" applyProtection="1">
      <alignment horizontal="left"/>
    </xf>
    <xf numFmtId="0" fontId="6" fillId="0" borderId="0" xfId="0" applyFont="1" applyBorder="1" applyProtection="1"/>
    <xf numFmtId="0" fontId="9" fillId="0" borderId="0" xfId="0" applyFont="1" applyBorder="1" applyAlignment="1" applyProtection="1">
      <alignment horizontal="right"/>
    </xf>
    <xf numFmtId="0" fontId="7" fillId="0" borderId="0" xfId="0" applyFont="1" applyBorder="1" applyProtection="1"/>
    <xf numFmtId="0" fontId="5" fillId="0" borderId="0" xfId="0" applyFont="1" applyBorder="1" applyAlignment="1" applyProtection="1">
      <alignment horizontal="center"/>
    </xf>
    <xf numFmtId="3" fontId="20" fillId="21" borderId="35" xfId="0" applyNumberFormat="1" applyFont="1" applyFill="1" applyBorder="1" applyAlignment="1" applyProtection="1"/>
    <xf numFmtId="169" fontId="20" fillId="0" borderId="35" xfId="0" applyNumberFormat="1" applyFont="1" applyBorder="1" applyAlignment="1" applyProtection="1"/>
    <xf numFmtId="169" fontId="20" fillId="21" borderId="11" xfId="0" applyNumberFormat="1" applyFont="1" applyFill="1" applyBorder="1" applyAlignment="1" applyProtection="1"/>
    <xf numFmtId="0" fontId="11" fillId="0" borderId="0" xfId="0" applyFont="1" applyAlignment="1" applyProtection="1">
      <alignment horizontal="center"/>
    </xf>
    <xf numFmtId="3" fontId="20" fillId="21" borderId="11" xfId="0" applyNumberFormat="1" applyFont="1" applyFill="1" applyBorder="1" applyAlignment="1" applyProtection="1"/>
    <xf numFmtId="169" fontId="20" fillId="0" borderId="11" xfId="0" applyNumberFormat="1" applyFont="1" applyBorder="1" applyAlignment="1" applyProtection="1"/>
    <xf numFmtId="3" fontId="29" fillId="21" borderId="11" xfId="0" applyNumberFormat="1" applyFont="1" applyFill="1" applyBorder="1" applyAlignment="1" applyProtection="1"/>
    <xf numFmtId="169" fontId="29" fillId="0" borderId="11" xfId="0" applyNumberFormat="1" applyFont="1" applyBorder="1" applyAlignment="1" applyProtection="1"/>
    <xf numFmtId="0" fontId="27" fillId="0" borderId="0" xfId="0" applyFont="1" applyBorder="1" applyAlignment="1" applyProtection="1">
      <alignment horizontal="center"/>
    </xf>
    <xf numFmtId="0" fontId="20" fillId="0" borderId="55" xfId="0" applyFont="1" applyBorder="1" applyAlignment="1" applyProtection="1">
      <alignment horizontal="right"/>
    </xf>
    <xf numFmtId="0" fontId="5" fillId="0" borderId="27" xfId="0" applyFont="1" applyBorder="1" applyProtection="1"/>
    <xf numFmtId="0" fontId="5" fillId="0" borderId="3" xfId="0" applyFont="1" applyBorder="1" applyProtection="1"/>
    <xf numFmtId="165" fontId="8" fillId="19" borderId="11" xfId="0" applyNumberFormat="1" applyFont="1" applyFill="1" applyBorder="1" applyAlignment="1" applyProtection="1">
      <alignment horizontal="center"/>
      <protection locked="0"/>
    </xf>
    <xf numFmtId="0" fontId="20" fillId="19" borderId="11" xfId="0" applyFont="1" applyFill="1" applyBorder="1" applyAlignment="1" applyProtection="1">
      <alignment horizontal="center"/>
      <protection locked="0"/>
    </xf>
    <xf numFmtId="0" fontId="36" fillId="20" borderId="62" xfId="0" applyFont="1" applyFill="1" applyBorder="1" applyAlignment="1" applyProtection="1">
      <alignment horizontal="centerContinuous"/>
    </xf>
    <xf numFmtId="0" fontId="36" fillId="20" borderId="63" xfId="0" applyFont="1" applyFill="1" applyBorder="1" applyAlignment="1" applyProtection="1">
      <alignment horizontal="centerContinuous"/>
    </xf>
    <xf numFmtId="0" fontId="36" fillId="20" borderId="64" xfId="0" applyFont="1" applyFill="1" applyBorder="1" applyAlignment="1" applyProtection="1">
      <alignment horizontal="center" vertical="center" wrapText="1"/>
    </xf>
    <xf numFmtId="167" fontId="4" fillId="0" borderId="24" xfId="91" applyNumberFormat="1" applyFont="1" applyFill="1" applyBorder="1" applyAlignment="1" applyProtection="1">
      <alignment horizontal="center"/>
    </xf>
    <xf numFmtId="0" fontId="36" fillId="20" borderId="64" xfId="0" applyFont="1" applyFill="1" applyBorder="1" applyAlignment="1" applyProtection="1">
      <alignment horizontal="centerContinuous"/>
    </xf>
    <xf numFmtId="0" fontId="37" fillId="20" borderId="13" xfId="0" applyFont="1" applyFill="1" applyBorder="1" applyAlignment="1" applyProtection="1">
      <alignment horizontal="centerContinuous"/>
    </xf>
    <xf numFmtId="0" fontId="37" fillId="20" borderId="65" xfId="0" applyFont="1" applyFill="1" applyBorder="1" applyAlignment="1" applyProtection="1">
      <alignment horizontal="center"/>
    </xf>
    <xf numFmtId="0" fontId="37" fillId="20" borderId="26" xfId="0" applyFont="1" applyFill="1" applyBorder="1" applyAlignment="1" applyProtection="1">
      <alignment horizontal="center"/>
    </xf>
    <xf numFmtId="0" fontId="5" fillId="20" borderId="65" xfId="0" applyFont="1" applyFill="1" applyBorder="1" applyAlignment="1" applyProtection="1">
      <alignment horizontal="center"/>
    </xf>
    <xf numFmtId="0" fontId="5" fillId="20" borderId="66" xfId="0" applyFont="1" applyFill="1" applyBorder="1" applyAlignment="1" applyProtection="1">
      <alignment horizontal="center"/>
    </xf>
    <xf numFmtId="0" fontId="10" fillId="20" borderId="23" xfId="0" applyFont="1" applyFill="1" applyBorder="1" applyAlignment="1" applyProtection="1">
      <alignment horizontal="center" vertical="center"/>
    </xf>
    <xf numFmtId="0" fontId="37" fillId="20" borderId="67" xfId="0" applyFont="1" applyFill="1" applyBorder="1" applyAlignment="1" applyProtection="1">
      <alignment horizontal="center"/>
    </xf>
    <xf numFmtId="0" fontId="37" fillId="20" borderId="68" xfId="0" applyFont="1" applyFill="1" applyBorder="1" applyAlignment="1" applyProtection="1">
      <alignment horizontal="center"/>
    </xf>
    <xf numFmtId="0" fontId="5" fillId="20" borderId="69" xfId="0" applyFont="1" applyFill="1" applyBorder="1" applyProtection="1"/>
    <xf numFmtId="0" fontId="5" fillId="20" borderId="70" xfId="0" applyFont="1" applyFill="1" applyBorder="1" applyProtection="1"/>
    <xf numFmtId="0" fontId="5" fillId="20" borderId="71" xfId="0" applyFont="1" applyFill="1" applyBorder="1" applyProtection="1"/>
    <xf numFmtId="0" fontId="5" fillId="20" borderId="72" xfId="0" applyFont="1" applyFill="1" applyBorder="1" applyProtection="1"/>
    <xf numFmtId="0" fontId="5" fillId="20" borderId="73" xfId="0" applyFont="1" applyFill="1" applyBorder="1" applyProtection="1"/>
    <xf numFmtId="0" fontId="10" fillId="20" borderId="74" xfId="0" applyFont="1" applyFill="1" applyBorder="1" applyAlignment="1" applyProtection="1">
      <alignment horizontal="center" vertical="center"/>
    </xf>
    <xf numFmtId="167" fontId="10" fillId="0" borderId="17" xfId="0" applyNumberFormat="1" applyFont="1" applyBorder="1" applyAlignment="1" applyProtection="1">
      <alignment horizontal="center"/>
    </xf>
    <xf numFmtId="167" fontId="12" fillId="0" borderId="75" xfId="0" applyNumberFormat="1" applyFont="1" applyBorder="1" applyAlignment="1" applyProtection="1">
      <alignment horizontal="center"/>
    </xf>
    <xf numFmtId="167" fontId="12" fillId="0" borderId="76" xfId="0" applyNumberFormat="1" applyFont="1" applyBorder="1" applyAlignment="1" applyProtection="1">
      <alignment horizontal="center"/>
    </xf>
    <xf numFmtId="167" fontId="5" fillId="0" borderId="49" xfId="0" applyNumberFormat="1" applyFont="1" applyBorder="1" applyAlignment="1" applyProtection="1">
      <alignment horizontal="center"/>
    </xf>
    <xf numFmtId="167" fontId="5" fillId="0" borderId="50" xfId="0" applyNumberFormat="1" applyFont="1" applyBorder="1" applyAlignment="1" applyProtection="1">
      <alignment horizontal="center"/>
    </xf>
    <xf numFmtId="167" fontId="5" fillId="0" borderId="47" xfId="0" applyNumberFormat="1" applyFont="1" applyBorder="1" applyAlignment="1" applyProtection="1">
      <alignment horizontal="center"/>
    </xf>
    <xf numFmtId="167" fontId="5" fillId="0" borderId="25" xfId="0" applyNumberFormat="1" applyFont="1" applyBorder="1" applyAlignment="1" applyProtection="1">
      <alignment horizontal="center"/>
    </xf>
    <xf numFmtId="173" fontId="12" fillId="0" borderId="75" xfId="0" applyNumberFormat="1" applyFont="1" applyBorder="1" applyAlignment="1" applyProtection="1">
      <alignment horizontal="center"/>
    </xf>
    <xf numFmtId="173" fontId="12" fillId="0" borderId="76" xfId="0" applyNumberFormat="1" applyFont="1" applyBorder="1" applyAlignment="1" applyProtection="1">
      <alignment horizontal="center"/>
    </xf>
    <xf numFmtId="173" fontId="5" fillId="0" borderId="49" xfId="0" applyNumberFormat="1" applyFont="1" applyBorder="1" applyAlignment="1" applyProtection="1">
      <alignment horizontal="center"/>
    </xf>
    <xf numFmtId="173" fontId="5" fillId="0" borderId="50" xfId="0" applyNumberFormat="1" applyFont="1" applyBorder="1" applyAlignment="1" applyProtection="1">
      <alignment horizontal="center"/>
    </xf>
    <xf numFmtId="173" fontId="5" fillId="0" borderId="47" xfId="0" applyNumberFormat="1" applyFont="1" applyBorder="1" applyAlignment="1" applyProtection="1">
      <alignment horizontal="center"/>
    </xf>
    <xf numFmtId="173" fontId="10" fillId="22" borderId="77" xfId="0" applyNumberFormat="1" applyFont="1" applyFill="1" applyBorder="1" applyAlignment="1" applyProtection="1">
      <alignment horizontal="center"/>
    </xf>
    <xf numFmtId="167" fontId="10" fillId="0" borderId="25" xfId="0" applyNumberFormat="1" applyFont="1" applyBorder="1" applyAlignment="1" applyProtection="1">
      <alignment horizontal="center"/>
    </xf>
    <xf numFmtId="0" fontId="12" fillId="0" borderId="0" xfId="0" applyFont="1" applyProtection="1"/>
    <xf numFmtId="174" fontId="5" fillId="0" borderId="43" xfId="0" applyNumberFormat="1" applyFont="1" applyBorder="1" applyProtection="1"/>
    <xf numFmtId="0" fontId="5" fillId="0" borderId="41" xfId="0" applyFont="1" applyBorder="1" applyProtection="1"/>
    <xf numFmtId="0" fontId="5" fillId="0" borderId="0" xfId="91" applyFont="1" applyBorder="1" applyProtection="1"/>
    <xf numFmtId="0" fontId="5" fillId="0" borderId="51" xfId="91" applyFont="1" applyBorder="1" applyProtection="1"/>
    <xf numFmtId="0" fontId="5" fillId="0" borderId="0" xfId="91" applyFont="1" applyBorder="1" applyAlignment="1" applyProtection="1">
      <alignment horizontal="right"/>
    </xf>
    <xf numFmtId="0" fontId="5" fillId="0" borderId="0" xfId="90" applyFont="1" applyBorder="1" applyProtection="1"/>
    <xf numFmtId="0" fontId="5" fillId="0" borderId="0" xfId="90" applyFont="1" applyBorder="1" applyAlignment="1" applyProtection="1">
      <alignment horizontal="right"/>
    </xf>
    <xf numFmtId="10" fontId="20" fillId="21" borderId="11" xfId="0" applyNumberFormat="1" applyFont="1" applyFill="1" applyBorder="1" applyAlignment="1" applyProtection="1">
      <alignment horizontal="center"/>
    </xf>
    <xf numFmtId="167" fontId="20" fillId="21" borderId="11" xfId="0" applyNumberFormat="1" applyFont="1" applyFill="1" applyBorder="1" applyAlignment="1" applyProtection="1">
      <alignment horizontal="center"/>
    </xf>
    <xf numFmtId="0" fontId="37" fillId="0" borderId="0" xfId="90" applyFont="1" applyBorder="1" applyProtection="1"/>
    <xf numFmtId="0" fontId="5" fillId="0" borderId="78" xfId="91" applyFont="1" applyBorder="1" applyProtection="1"/>
    <xf numFmtId="0" fontId="5" fillId="0" borderId="42" xfId="0" applyFont="1" applyBorder="1" applyAlignment="1" applyProtection="1">
      <alignment horizontal="right"/>
    </xf>
    <xf numFmtId="0" fontId="5" fillId="0" borderId="42" xfId="0" applyFont="1" applyBorder="1" applyAlignment="1" applyProtection="1">
      <alignment horizontal="centerContinuous"/>
    </xf>
    <xf numFmtId="167" fontId="5" fillId="0" borderId="42" xfId="0" applyNumberFormat="1" applyFont="1" applyBorder="1" applyAlignment="1" applyProtection="1">
      <alignment horizontal="center"/>
    </xf>
    <xf numFmtId="0" fontId="27" fillId="0" borderId="42" xfId="91" applyFont="1" applyBorder="1" applyProtection="1"/>
    <xf numFmtId="0" fontId="5" fillId="0" borderId="21" xfId="91" applyFont="1" applyBorder="1" applyProtection="1"/>
    <xf numFmtId="0" fontId="10" fillId="20" borderId="12" xfId="0" applyFont="1" applyFill="1" applyBorder="1" applyAlignment="1" applyProtection="1">
      <alignment horizontal="centerContinuous"/>
    </xf>
    <xf numFmtId="0" fontId="5" fillId="20" borderId="12" xfId="0" applyFont="1" applyFill="1" applyBorder="1" applyAlignment="1" applyProtection="1">
      <alignment horizontal="centerContinuous"/>
    </xf>
    <xf numFmtId="0" fontId="29" fillId="20" borderId="49" xfId="0" applyFont="1" applyFill="1" applyBorder="1" applyAlignment="1" applyProtection="1">
      <alignment horizontal="center"/>
    </xf>
    <xf numFmtId="0" fontId="29" fillId="20" borderId="50" xfId="0" applyFont="1" applyFill="1" applyBorder="1" applyAlignment="1" applyProtection="1">
      <alignment horizontal="center"/>
    </xf>
    <xf numFmtId="0" fontId="29" fillId="20" borderId="47" xfId="0" applyFont="1" applyFill="1" applyBorder="1" applyAlignment="1" applyProtection="1">
      <alignment horizontal="center"/>
    </xf>
    <xf numFmtId="0" fontId="29" fillId="20" borderId="47" xfId="0" applyFont="1" applyFill="1" applyBorder="1" applyAlignment="1" applyProtection="1">
      <alignment horizontal="center" vertical="center"/>
    </xf>
    <xf numFmtId="167" fontId="20" fillId="20" borderId="79" xfId="0" applyNumberFormat="1" applyFont="1" applyFill="1" applyBorder="1" applyAlignment="1" applyProtection="1">
      <alignment horizontal="center"/>
    </xf>
    <xf numFmtId="167" fontId="20" fillId="20" borderId="80" xfId="0" applyNumberFormat="1" applyFont="1" applyFill="1" applyBorder="1" applyAlignment="1" applyProtection="1">
      <alignment horizontal="center"/>
    </xf>
    <xf numFmtId="167" fontId="20" fillId="20" borderId="81" xfId="0" applyNumberFormat="1" applyFont="1" applyFill="1" applyBorder="1" applyAlignment="1" applyProtection="1">
      <alignment horizontal="center"/>
    </xf>
    <xf numFmtId="167" fontId="29" fillId="20" borderId="81" xfId="0" applyNumberFormat="1" applyFont="1" applyFill="1" applyBorder="1" applyAlignment="1" applyProtection="1">
      <alignment horizontal="center"/>
    </xf>
    <xf numFmtId="167" fontId="20" fillId="0" borderId="82" xfId="0" applyNumberFormat="1" applyFont="1" applyBorder="1" applyAlignment="1" applyProtection="1">
      <alignment horizontal="center"/>
    </xf>
    <xf numFmtId="167" fontId="20" fillId="0" borderId="11" xfId="0" applyNumberFormat="1" applyFont="1" applyBorder="1" applyAlignment="1" applyProtection="1">
      <alignment horizontal="center"/>
    </xf>
    <xf numFmtId="167" fontId="20" fillId="0" borderId="83" xfId="0" applyNumberFormat="1" applyFont="1" applyBorder="1" applyAlignment="1" applyProtection="1">
      <alignment horizontal="center"/>
    </xf>
    <xf numFmtId="0" fontId="29" fillId="0" borderId="83" xfId="0" applyFont="1" applyBorder="1" applyAlignment="1" applyProtection="1">
      <alignment horizontal="center"/>
    </xf>
    <xf numFmtId="167" fontId="20" fillId="0" borderId="84" xfId="0" applyNumberFormat="1" applyFont="1" applyBorder="1" applyAlignment="1" applyProtection="1">
      <alignment horizontal="center"/>
    </xf>
    <xf numFmtId="167" fontId="20" fillId="0" borderId="29" xfId="0" applyNumberFormat="1" applyFont="1" applyBorder="1" applyAlignment="1" applyProtection="1">
      <alignment horizontal="center"/>
    </xf>
    <xf numFmtId="167" fontId="20" fillId="0" borderId="30" xfId="0" applyNumberFormat="1" applyFont="1" applyBorder="1" applyAlignment="1" applyProtection="1">
      <alignment horizontal="center"/>
    </xf>
    <xf numFmtId="167" fontId="29" fillId="0" borderId="29" xfId="0" applyNumberFormat="1" applyFont="1" applyBorder="1" applyAlignment="1" applyProtection="1">
      <alignment horizontal="center"/>
    </xf>
    <xf numFmtId="6" fontId="20" fillId="0" borderId="82" xfId="0" applyNumberFormat="1" applyFont="1" applyBorder="1" applyAlignment="1" applyProtection="1">
      <alignment horizontal="center"/>
    </xf>
    <xf numFmtId="6" fontId="20" fillId="0" borderId="11" xfId="0" applyNumberFormat="1" applyFont="1" applyBorder="1" applyAlignment="1" applyProtection="1">
      <alignment horizontal="center"/>
    </xf>
    <xf numFmtId="6" fontId="20" fillId="0" borderId="83" xfId="0" applyNumberFormat="1" applyFont="1" applyBorder="1" applyAlignment="1" applyProtection="1">
      <alignment horizontal="center"/>
    </xf>
    <xf numFmtId="167" fontId="20" fillId="0" borderId="82" xfId="0" applyNumberFormat="1" applyFont="1" applyFill="1" applyBorder="1" applyAlignment="1" applyProtection="1">
      <alignment horizontal="center"/>
    </xf>
    <xf numFmtId="167" fontId="20" fillId="0" borderId="11" xfId="0" applyNumberFormat="1" applyFont="1" applyFill="1" applyBorder="1" applyAlignment="1" applyProtection="1">
      <alignment horizontal="center"/>
    </xf>
    <xf numFmtId="167" fontId="20" fillId="0" borderId="83" xfId="0" applyNumberFormat="1" applyFont="1" applyFill="1" applyBorder="1" applyAlignment="1" applyProtection="1">
      <alignment horizontal="center"/>
    </xf>
    <xf numFmtId="167" fontId="20" fillId="0" borderId="79" xfId="0" applyNumberFormat="1" applyFont="1" applyBorder="1" applyAlignment="1" applyProtection="1">
      <alignment horizontal="center"/>
    </xf>
    <xf numFmtId="167" fontId="20" fillId="0" borderId="80" xfId="0" applyNumberFormat="1" applyFont="1" applyBorder="1" applyAlignment="1" applyProtection="1">
      <alignment horizontal="center"/>
    </xf>
    <xf numFmtId="167" fontId="20" fillId="0" borderId="81" xfId="0" applyNumberFormat="1" applyFont="1" applyBorder="1" applyAlignment="1" applyProtection="1">
      <alignment horizontal="center"/>
    </xf>
    <xf numFmtId="0" fontId="29" fillId="0" borderId="81" xfId="0" applyFont="1" applyBorder="1" applyAlignment="1" applyProtection="1">
      <alignment horizontal="center"/>
    </xf>
    <xf numFmtId="167" fontId="38" fillId="0" borderId="37" xfId="0" applyNumberFormat="1" applyFont="1" applyBorder="1" applyAlignment="1" applyProtection="1">
      <alignment horizontal="center"/>
    </xf>
    <xf numFmtId="167" fontId="38" fillId="0" borderId="38" xfId="0" applyNumberFormat="1" applyFont="1" applyBorder="1" applyAlignment="1" applyProtection="1">
      <alignment horizontal="center"/>
    </xf>
    <xf numFmtId="167" fontId="38" fillId="0" borderId="39" xfId="0" applyNumberFormat="1" applyFont="1" applyBorder="1" applyAlignment="1" applyProtection="1">
      <alignment horizontal="center"/>
    </xf>
    <xf numFmtId="0" fontId="10" fillId="0" borderId="55" xfId="90" applyFont="1" applyBorder="1" applyProtection="1"/>
    <xf numFmtId="0" fontId="10" fillId="0" borderId="56" xfId="90" applyFont="1" applyBorder="1" applyAlignment="1" applyProtection="1">
      <alignment horizontal="right"/>
    </xf>
    <xf numFmtId="0" fontId="5" fillId="0" borderId="0" xfId="0" applyFont="1" applyBorder="1" applyAlignment="1" applyProtection="1">
      <alignment horizontal="centerContinuous"/>
    </xf>
    <xf numFmtId="0" fontId="37" fillId="0" borderId="0" xfId="0" applyFont="1" applyBorder="1" applyAlignment="1" applyProtection="1">
      <alignment horizontal="centerContinuous"/>
    </xf>
    <xf numFmtId="6" fontId="10" fillId="0" borderId="0" xfId="0" applyNumberFormat="1" applyFont="1" applyBorder="1" applyAlignment="1" applyProtection="1">
      <alignment horizontal="center"/>
    </xf>
    <xf numFmtId="0" fontId="29" fillId="19" borderId="23" xfId="91" applyFont="1" applyFill="1" applyBorder="1" applyAlignment="1" applyProtection="1">
      <alignment horizontal="center"/>
    </xf>
    <xf numFmtId="167" fontId="5" fillId="0" borderId="0" xfId="91" applyNumberFormat="1" applyFont="1" applyFill="1" applyBorder="1" applyAlignment="1" applyProtection="1">
      <alignment horizontal="center"/>
    </xf>
    <xf numFmtId="167" fontId="5" fillId="0" borderId="11" xfId="91" applyNumberFormat="1" applyFont="1" applyFill="1" applyBorder="1" applyAlignment="1" applyProtection="1">
      <alignment horizontal="left"/>
    </xf>
    <xf numFmtId="167" fontId="5" fillId="19" borderId="85" xfId="0" applyNumberFormat="1" applyFont="1" applyFill="1" applyBorder="1" applyAlignment="1" applyProtection="1">
      <alignment horizontal="center"/>
      <protection locked="0"/>
    </xf>
    <xf numFmtId="167" fontId="5" fillId="19" borderId="86" xfId="0" applyNumberFormat="1" applyFont="1" applyFill="1" applyBorder="1" applyAlignment="1" applyProtection="1">
      <alignment horizontal="center"/>
      <protection locked="0"/>
    </xf>
    <xf numFmtId="167" fontId="5" fillId="19" borderId="87" xfId="0" applyNumberFormat="1" applyFont="1" applyFill="1" applyBorder="1" applyAlignment="1" applyProtection="1">
      <alignment horizontal="center"/>
      <protection locked="0"/>
    </xf>
    <xf numFmtId="167" fontId="5" fillId="21" borderId="85" xfId="0" applyNumberFormat="1" applyFont="1" applyFill="1" applyBorder="1" applyAlignment="1" applyProtection="1">
      <alignment horizontal="center"/>
    </xf>
    <xf numFmtId="167" fontId="12" fillId="19" borderId="85" xfId="0" applyNumberFormat="1" applyFont="1" applyFill="1" applyBorder="1" applyAlignment="1" applyProtection="1">
      <alignment horizontal="center"/>
      <protection locked="0"/>
    </xf>
    <xf numFmtId="167" fontId="12" fillId="19" borderId="88" xfId="0" applyNumberFormat="1" applyFont="1" applyFill="1" applyBorder="1" applyAlignment="1" applyProtection="1">
      <alignment horizontal="center"/>
      <protection locked="0"/>
    </xf>
    <xf numFmtId="167" fontId="5" fillId="19" borderId="17" xfId="0" applyNumberFormat="1" applyFont="1" applyFill="1" applyBorder="1" applyAlignment="1" applyProtection="1">
      <alignment horizontal="center"/>
      <protection locked="0"/>
    </xf>
    <xf numFmtId="0" fontId="5" fillId="19" borderId="11" xfId="0" applyFont="1" applyFill="1" applyBorder="1" applyProtection="1">
      <protection locked="0"/>
    </xf>
    <xf numFmtId="0" fontId="5" fillId="19" borderId="55" xfId="91" applyFont="1" applyFill="1" applyBorder="1" applyProtection="1">
      <protection locked="0"/>
    </xf>
    <xf numFmtId="0" fontId="42" fillId="0" borderId="0" xfId="0" applyFont="1" applyBorder="1" applyAlignment="1" applyProtection="1">
      <alignment horizontal="right"/>
    </xf>
    <xf numFmtId="0" fontId="12" fillId="0" borderId="0" xfId="0" quotePrefix="1" applyFont="1" applyFill="1" applyAlignment="1" applyProtection="1">
      <alignment horizontal="right"/>
    </xf>
    <xf numFmtId="0" fontId="12" fillId="0" borderId="0" xfId="0" applyFont="1" applyFill="1" applyProtection="1"/>
    <xf numFmtId="0" fontId="12" fillId="0" borderId="0" xfId="0" applyFont="1" applyFill="1" applyAlignment="1" applyProtection="1">
      <alignment horizontal="right"/>
    </xf>
    <xf numFmtId="0" fontId="37" fillId="0" borderId="0" xfId="0" applyFont="1" applyFill="1" applyAlignment="1" applyProtection="1">
      <alignment horizontal="center"/>
    </xf>
    <xf numFmtId="0" fontId="10" fillId="0" borderId="0" xfId="0" applyFont="1" applyProtection="1"/>
    <xf numFmtId="0" fontId="4" fillId="0" borderId="0" xfId="0" applyFont="1" applyProtection="1"/>
    <xf numFmtId="0" fontId="10" fillId="0" borderId="0" xfId="0" applyFont="1" applyAlignment="1" applyProtection="1">
      <alignment horizontal="center"/>
    </xf>
    <xf numFmtId="0" fontId="20" fillId="0" borderId="0" xfId="0" applyFont="1" applyProtection="1"/>
    <xf numFmtId="0" fontId="29" fillId="0" borderId="0" xfId="0" applyFont="1" applyProtection="1"/>
    <xf numFmtId="0" fontId="20" fillId="0" borderId="0" xfId="0" applyFont="1" applyAlignment="1" applyProtection="1">
      <alignment horizontal="center"/>
    </xf>
    <xf numFmtId="0" fontId="20" fillId="0" borderId="0" xfId="0" applyFont="1" applyAlignment="1" applyProtection="1"/>
    <xf numFmtId="0" fontId="20" fillId="0" borderId="0" xfId="0" applyFont="1" applyAlignment="1" applyProtection="1">
      <alignment horizontal="right"/>
    </xf>
    <xf numFmtId="0" fontId="20" fillId="0" borderId="3" xfId="0" applyFont="1" applyFill="1" applyBorder="1" applyAlignment="1" applyProtection="1">
      <alignment horizontal="left"/>
    </xf>
    <xf numFmtId="0" fontId="5" fillId="0" borderId="0" xfId="0" applyFont="1" applyAlignment="1" applyProtection="1">
      <alignment vertical="top"/>
    </xf>
    <xf numFmtId="0" fontId="5" fillId="0" borderId="0" xfId="0" applyFont="1" applyAlignment="1" applyProtection="1">
      <alignment horizontal="left"/>
    </xf>
    <xf numFmtId="0" fontId="5" fillId="0" borderId="0" xfId="0" applyFont="1" applyFill="1" applyBorder="1" applyAlignment="1" applyProtection="1">
      <alignment horizontal="left"/>
    </xf>
    <xf numFmtId="0" fontId="5" fillId="0" borderId="0" xfId="0" applyFont="1" applyFill="1" applyBorder="1" applyAlignment="1" applyProtection="1">
      <alignment horizontal="center"/>
    </xf>
    <xf numFmtId="0" fontId="10" fillId="0" borderId="0" xfId="0" applyFont="1" applyAlignment="1" applyProtection="1">
      <alignment horizontal="right"/>
    </xf>
    <xf numFmtId="0" fontId="5" fillId="0" borderId="0" xfId="0" applyFont="1" applyAlignment="1" applyProtection="1"/>
    <xf numFmtId="0" fontId="45" fillId="0" borderId="0" xfId="0" applyFont="1" applyAlignment="1" applyProtection="1"/>
    <xf numFmtId="0" fontId="5" fillId="0" borderId="3" xfId="0" applyFont="1" applyBorder="1" applyAlignment="1" applyProtection="1"/>
    <xf numFmtId="0" fontId="5" fillId="0" borderId="0" xfId="0" applyFont="1" applyAlignment="1" applyProtection="1">
      <alignment horizontal="right" vertical="top"/>
    </xf>
    <xf numFmtId="0" fontId="5" fillId="0" borderId="89" xfId="0" applyFont="1" applyBorder="1" applyAlignment="1" applyProtection="1">
      <alignment horizontal="center"/>
    </xf>
    <xf numFmtId="0" fontId="5" fillId="0" borderId="0" xfId="0" applyFont="1" applyAlignment="1" applyProtection="1">
      <alignment horizontal="right"/>
    </xf>
    <xf numFmtId="0" fontId="5" fillId="0" borderId="0" xfId="0" quotePrefix="1" applyFont="1" applyAlignment="1" applyProtection="1">
      <alignment horizontal="right" vertical="top"/>
    </xf>
    <xf numFmtId="15" fontId="5" fillId="19" borderId="11" xfId="0" applyNumberFormat="1" applyFont="1" applyFill="1" applyBorder="1" applyAlignment="1" applyProtection="1">
      <alignment horizontal="center"/>
      <protection locked="0"/>
    </xf>
    <xf numFmtId="171" fontId="5" fillId="19" borderId="11" xfId="57" applyNumberFormat="1" applyFont="1" applyFill="1" applyBorder="1" applyAlignment="1" applyProtection="1">
      <alignment horizontal="center"/>
      <protection locked="0"/>
    </xf>
    <xf numFmtId="171" fontId="5" fillId="19" borderId="11" xfId="57" applyNumberFormat="1" applyFont="1" applyFill="1" applyBorder="1" applyAlignment="1" applyProtection="1">
      <protection locked="0"/>
    </xf>
    <xf numFmtId="171" fontId="5" fillId="21" borderId="11" xfId="57" applyNumberFormat="1" applyFont="1" applyFill="1" applyBorder="1" applyAlignment="1" applyProtection="1"/>
    <xf numFmtId="171" fontId="5" fillId="21" borderId="11" xfId="0" applyNumberFormat="1" applyFont="1" applyFill="1" applyBorder="1" applyAlignment="1" applyProtection="1"/>
    <xf numFmtId="10" fontId="5" fillId="21" borderId="11" xfId="96" applyNumberFormat="1" applyFont="1" applyFill="1" applyBorder="1" applyAlignment="1" applyProtection="1"/>
    <xf numFmtId="171" fontId="5" fillId="21" borderId="35" xfId="57" applyNumberFormat="1" applyFont="1" applyFill="1" applyBorder="1" applyAlignment="1" applyProtection="1"/>
    <xf numFmtId="172" fontId="47" fillId="21" borderId="11" xfId="0" applyNumberFormat="1" applyFont="1" applyFill="1" applyBorder="1" applyAlignment="1" applyProtection="1">
      <alignment horizontal="left"/>
    </xf>
    <xf numFmtId="0" fontId="47" fillId="0" borderId="0" xfId="0" applyFont="1" applyBorder="1" applyProtection="1"/>
    <xf numFmtId="0" fontId="7" fillId="0" borderId="0" xfId="0" applyFont="1" applyAlignment="1" applyProtection="1">
      <alignment horizontal="center"/>
    </xf>
    <xf numFmtId="0" fontId="5" fillId="0" borderId="0" xfId="0" applyFont="1" applyAlignment="1" applyProtection="1">
      <alignment horizontal="centerContinuous"/>
    </xf>
    <xf numFmtId="0" fontId="7" fillId="0" borderId="0" xfId="0" applyFont="1" applyProtection="1"/>
    <xf numFmtId="0" fontId="7" fillId="0" borderId="0" xfId="0" quotePrefix="1" applyFont="1" applyAlignment="1" applyProtection="1">
      <alignment horizontal="right"/>
    </xf>
    <xf numFmtId="15" fontId="5" fillId="23" borderId="11" xfId="0" applyNumberFormat="1" applyFont="1" applyFill="1" applyBorder="1" applyAlignment="1" applyProtection="1">
      <alignment horizontal="center"/>
      <protection locked="0"/>
    </xf>
    <xf numFmtId="15" fontId="5" fillId="23" borderId="35" xfId="0" applyNumberFormat="1" applyFont="1" applyFill="1" applyBorder="1" applyAlignment="1" applyProtection="1">
      <alignment horizontal="center"/>
      <protection locked="0"/>
    </xf>
    <xf numFmtId="0" fontId="37" fillId="0" borderId="0" xfId="0" applyFont="1" applyProtection="1"/>
    <xf numFmtId="167" fontId="5" fillId="0" borderId="0" xfId="0" applyNumberFormat="1" applyFont="1" applyProtection="1"/>
    <xf numFmtId="0" fontId="5" fillId="20" borderId="48" xfId="90" applyFont="1" applyFill="1" applyBorder="1" applyProtection="1"/>
    <xf numFmtId="0" fontId="5" fillId="20" borderId="45" xfId="90" applyFont="1" applyFill="1" applyBorder="1" applyProtection="1"/>
    <xf numFmtId="0" fontId="5" fillId="20" borderId="90" xfId="90" applyFont="1" applyFill="1" applyBorder="1" applyProtection="1"/>
    <xf numFmtId="0" fontId="5" fillId="0" borderId="42" xfId="90" applyFont="1" applyBorder="1" applyProtection="1"/>
    <xf numFmtId="0" fontId="26" fillId="0" borderId="0" xfId="90" applyFont="1" applyBorder="1" applyProtection="1"/>
    <xf numFmtId="167" fontId="20" fillId="0" borderId="11" xfId="90" applyNumberFormat="1" applyFont="1" applyBorder="1" applyAlignment="1" applyProtection="1">
      <alignment horizontal="center"/>
    </xf>
    <xf numFmtId="0" fontId="37" fillId="0" borderId="0" xfId="0" applyFont="1"/>
    <xf numFmtId="0" fontId="5" fillId="0" borderId="23" xfId="0" applyFont="1" applyBorder="1"/>
    <xf numFmtId="0" fontId="5" fillId="0" borderId="15" xfId="0" applyFont="1" applyBorder="1"/>
    <xf numFmtId="10" fontId="15" fillId="0" borderId="17" xfId="0" applyNumberFormat="1" applyFont="1" applyBorder="1"/>
    <xf numFmtId="0" fontId="5" fillId="0" borderId="17" xfId="0" applyFont="1" applyBorder="1"/>
    <xf numFmtId="10" fontId="15" fillId="0" borderId="15" xfId="0" applyNumberFormat="1" applyFont="1" applyBorder="1"/>
    <xf numFmtId="10" fontId="15" fillId="0" borderId="24" xfId="0" applyNumberFormat="1" applyFont="1" applyBorder="1"/>
    <xf numFmtId="6" fontId="5" fillId="0" borderId="0" xfId="0" applyNumberFormat="1" applyFont="1"/>
    <xf numFmtId="0" fontId="5" fillId="0" borderId="24" xfId="0" applyFont="1" applyBorder="1"/>
    <xf numFmtId="0" fontId="5" fillId="0" borderId="25" xfId="0" applyFont="1" applyBorder="1"/>
    <xf numFmtId="0" fontId="5" fillId="0" borderId="0" xfId="0" quotePrefix="1" applyFont="1" applyProtection="1"/>
    <xf numFmtId="0" fontId="48" fillId="0" borderId="0" xfId="75" applyFont="1" applyAlignment="1" applyProtection="1"/>
    <xf numFmtId="0" fontId="5" fillId="0" borderId="11" xfId="0" applyFont="1" applyBorder="1" applyAlignment="1" applyProtection="1">
      <alignment horizontal="center"/>
    </xf>
    <xf numFmtId="4" fontId="5" fillId="0" borderId="0" xfId="0" applyNumberFormat="1" applyFont="1" applyAlignment="1" applyProtection="1">
      <alignment horizontal="left"/>
    </xf>
    <xf numFmtId="3" fontId="20" fillId="19" borderId="11" xfId="0" applyNumberFormat="1" applyFont="1" applyFill="1" applyBorder="1" applyProtection="1">
      <protection locked="0"/>
    </xf>
    <xf numFmtId="0" fontId="0" fillId="0" borderId="0" xfId="0" applyProtection="1"/>
    <xf numFmtId="0" fontId="10" fillId="20" borderId="44" xfId="91" applyFont="1" applyFill="1" applyBorder="1" applyProtection="1"/>
    <xf numFmtId="0" fontId="5" fillId="20" borderId="48" xfId="91" applyFont="1" applyFill="1" applyBorder="1" applyProtection="1"/>
    <xf numFmtId="0" fontId="5" fillId="20" borderId="45" xfId="91" applyFont="1" applyFill="1" applyBorder="1" applyProtection="1"/>
    <xf numFmtId="0" fontId="30" fillId="0" borderId="0" xfId="91" applyBorder="1" applyProtection="1"/>
    <xf numFmtId="0" fontId="5" fillId="21" borderId="91" xfId="91" applyFont="1" applyFill="1" applyBorder="1" applyAlignment="1" applyProtection="1">
      <alignment horizontal="left"/>
    </xf>
    <xf numFmtId="167" fontId="20" fillId="0" borderId="11" xfId="0" applyNumberFormat="1" applyFont="1" applyBorder="1" applyAlignment="1" applyProtection="1">
      <alignment horizontal="left"/>
    </xf>
    <xf numFmtId="167" fontId="5" fillId="19" borderId="91" xfId="91" applyNumberFormat="1" applyFont="1" applyFill="1" applyBorder="1" applyAlignment="1" applyProtection="1">
      <alignment horizontal="left"/>
      <protection locked="0"/>
    </xf>
    <xf numFmtId="169" fontId="5" fillId="19" borderId="11" xfId="91" applyNumberFormat="1" applyFont="1" applyFill="1" applyBorder="1" applyAlignment="1" applyProtection="1">
      <alignment horizontal="left"/>
      <protection locked="0"/>
    </xf>
    <xf numFmtId="14" fontId="5" fillId="19" borderId="11" xfId="91" applyNumberFormat="1" applyFont="1" applyFill="1" applyBorder="1" applyAlignment="1" applyProtection="1">
      <alignment horizontal="left"/>
      <protection locked="0"/>
    </xf>
    <xf numFmtId="175" fontId="5" fillId="19" borderId="11" xfId="91" applyNumberFormat="1" applyFont="1" applyFill="1" applyBorder="1" applyAlignment="1" applyProtection="1">
      <alignment horizontal="left"/>
      <protection locked="0"/>
    </xf>
    <xf numFmtId="3" fontId="5" fillId="19" borderId="11" xfId="91" applyNumberFormat="1" applyFont="1" applyFill="1" applyBorder="1" applyAlignment="1" applyProtection="1">
      <alignment horizontal="left"/>
      <protection locked="0"/>
    </xf>
    <xf numFmtId="0" fontId="37" fillId="0" borderId="0" xfId="91" applyFont="1" applyBorder="1" applyProtection="1"/>
    <xf numFmtId="0" fontId="9" fillId="0" borderId="0" xfId="91" applyFont="1" applyBorder="1" applyProtection="1"/>
    <xf numFmtId="0" fontId="30" fillId="0" borderId="0" xfId="91" applyFont="1" applyBorder="1" applyProtection="1"/>
    <xf numFmtId="0" fontId="0" fillId="0" borderId="0" xfId="0" applyBorder="1" applyProtection="1"/>
    <xf numFmtId="0" fontId="20" fillId="0" borderId="0" xfId="91" applyFont="1" applyBorder="1" applyProtection="1"/>
    <xf numFmtId="0" fontId="29" fillId="20" borderId="55" xfId="91" applyFont="1" applyFill="1" applyBorder="1" applyAlignment="1" applyProtection="1">
      <alignment horizontal="centerContinuous"/>
    </xf>
    <xf numFmtId="0" fontId="29" fillId="20" borderId="57" xfId="91" applyFont="1" applyFill="1" applyBorder="1" applyAlignment="1" applyProtection="1">
      <alignment horizontal="centerContinuous"/>
    </xf>
    <xf numFmtId="0" fontId="20" fillId="20" borderId="57" xfId="91" applyFont="1" applyFill="1" applyBorder="1" applyAlignment="1" applyProtection="1">
      <alignment horizontal="centerContinuous"/>
    </xf>
    <xf numFmtId="0" fontId="20" fillId="20" borderId="56" xfId="91" applyFont="1" applyFill="1" applyBorder="1" applyAlignment="1" applyProtection="1">
      <alignment horizontal="centerContinuous"/>
    </xf>
    <xf numFmtId="0" fontId="29" fillId="0" borderId="0" xfId="91" applyFont="1" applyBorder="1" applyAlignment="1" applyProtection="1">
      <alignment horizontal="center"/>
    </xf>
    <xf numFmtId="0" fontId="29" fillId="20" borderId="11" xfId="91" applyFont="1" applyFill="1" applyBorder="1" applyAlignment="1" applyProtection="1">
      <alignment horizontal="center"/>
    </xf>
    <xf numFmtId="0" fontId="20" fillId="0" borderId="11" xfId="91" applyFont="1" applyBorder="1" applyAlignment="1" applyProtection="1">
      <alignment horizontal="center"/>
    </xf>
    <xf numFmtId="6" fontId="20" fillId="0" borderId="11" xfId="91" applyNumberFormat="1" applyFont="1" applyBorder="1" applyAlignment="1" applyProtection="1">
      <alignment horizontal="center"/>
    </xf>
    <xf numFmtId="6" fontId="20" fillId="0" borderId="11" xfId="0" applyNumberFormat="1" applyFont="1" applyBorder="1" applyProtection="1"/>
    <xf numFmtId="9" fontId="20" fillId="0" borderId="11" xfId="0" applyNumberFormat="1" applyFont="1" applyBorder="1" applyProtection="1"/>
    <xf numFmtId="0" fontId="43" fillId="0" borderId="0" xfId="0" applyFont="1" applyProtection="1"/>
    <xf numFmtId="6" fontId="43" fillId="0" borderId="0" xfId="0" applyNumberFormat="1" applyFont="1" applyProtection="1"/>
    <xf numFmtId="9" fontId="29" fillId="19" borderId="11" xfId="91" applyNumberFormat="1" applyFont="1" applyFill="1" applyBorder="1" applyAlignment="1" applyProtection="1">
      <alignment horizontal="center"/>
      <protection locked="0"/>
    </xf>
    <xf numFmtId="3" fontId="26" fillId="0" borderId="0" xfId="0" applyNumberFormat="1" applyFont="1"/>
    <xf numFmtId="0" fontId="37" fillId="0" borderId="0" xfId="0" applyFont="1" applyBorder="1"/>
    <xf numFmtId="0" fontId="5" fillId="0" borderId="11" xfId="0" applyFont="1" applyBorder="1" applyProtection="1"/>
    <xf numFmtId="169" fontId="5" fillId="0" borderId="0" xfId="0" applyNumberFormat="1" applyFont="1" applyAlignment="1" applyProtection="1">
      <alignment horizontal="left"/>
    </xf>
    <xf numFmtId="0" fontId="5" fillId="0" borderId="11" xfId="0" applyFont="1" applyFill="1" applyBorder="1" applyAlignment="1" applyProtection="1">
      <alignment horizontal="center"/>
    </xf>
    <xf numFmtId="3" fontId="20" fillId="0" borderId="11" xfId="0" applyNumberFormat="1" applyFont="1" applyBorder="1" applyProtection="1"/>
    <xf numFmtId="3" fontId="20" fillId="0" borderId="11" xfId="57" applyNumberFormat="1" applyFont="1" applyBorder="1" applyProtection="1"/>
    <xf numFmtId="0" fontId="26" fillId="0" borderId="0" xfId="0" applyFont="1" applyProtection="1"/>
    <xf numFmtId="0" fontId="5" fillId="0" borderId="0" xfId="0" applyFont="1" applyAlignment="1" applyProtection="1">
      <alignment horizontal="center"/>
    </xf>
    <xf numFmtId="44" fontId="20" fillId="0" borderId="11" xfId="57" applyFont="1" applyBorder="1" applyProtection="1"/>
    <xf numFmtId="0" fontId="49" fillId="0" borderId="0" xfId="0" applyFont="1" applyProtection="1"/>
    <xf numFmtId="44" fontId="29" fillId="0" borderId="11" xfId="57" applyFont="1" applyBorder="1" applyProtection="1"/>
    <xf numFmtId="44" fontId="29" fillId="0" borderId="0" xfId="0" applyNumberFormat="1" applyFont="1" applyFill="1" applyBorder="1" applyAlignment="1" applyProtection="1">
      <alignment horizontal="center"/>
    </xf>
    <xf numFmtId="44" fontId="50" fillId="0" borderId="0" xfId="57" applyFont="1" applyProtection="1"/>
    <xf numFmtId="0" fontId="4" fillId="0" borderId="0" xfId="0" applyFont="1" applyAlignment="1" applyProtection="1">
      <alignment horizontal="right"/>
    </xf>
    <xf numFmtId="3" fontId="5" fillId="0" borderId="0" xfId="0" applyNumberFormat="1" applyFont="1" applyBorder="1" applyProtection="1"/>
    <xf numFmtId="171" fontId="20" fillId="21" borderId="11" xfId="57" applyNumberFormat="1" applyFont="1" applyFill="1" applyBorder="1" applyProtection="1"/>
    <xf numFmtId="171" fontId="20" fillId="19" borderId="11" xfId="57" applyNumberFormat="1" applyFont="1" applyFill="1" applyBorder="1" applyProtection="1">
      <protection locked="0"/>
    </xf>
    <xf numFmtId="171" fontId="29" fillId="21" borderId="11" xfId="0" applyNumberFormat="1" applyFont="1" applyFill="1" applyBorder="1" applyProtection="1"/>
    <xf numFmtId="4" fontId="29" fillId="0" borderId="11" xfId="0" applyNumberFormat="1" applyFont="1" applyBorder="1" applyProtection="1"/>
    <xf numFmtId="0" fontId="26" fillId="0" borderId="40" xfId="0" applyFont="1" applyBorder="1" applyProtection="1"/>
    <xf numFmtId="0" fontId="5" fillId="20" borderId="12" xfId="0" applyFont="1" applyFill="1" applyBorder="1" applyAlignment="1" applyProtection="1">
      <alignment horizontal="center"/>
    </xf>
    <xf numFmtId="0" fontId="10" fillId="20" borderId="92" xfId="0" applyFont="1" applyFill="1" applyBorder="1" applyAlignment="1" applyProtection="1">
      <alignment horizontal="center"/>
    </xf>
    <xf numFmtId="0" fontId="5" fillId="20" borderId="92" xfId="0" applyFont="1" applyFill="1" applyBorder="1" applyAlignment="1" applyProtection="1">
      <alignment horizontal="center"/>
    </xf>
    <xf numFmtId="0" fontId="5" fillId="20" borderId="28" xfId="0" applyFont="1" applyFill="1" applyBorder="1" applyAlignment="1" applyProtection="1">
      <alignment horizontal="center"/>
    </xf>
    <xf numFmtId="0" fontId="10" fillId="20" borderId="20" xfId="0" applyFont="1" applyFill="1" applyBorder="1" applyAlignment="1" applyProtection="1">
      <alignment horizontal="center"/>
    </xf>
    <xf numFmtId="0" fontId="10" fillId="20" borderId="38" xfId="0" applyFont="1" applyFill="1" applyBorder="1" applyAlignment="1" applyProtection="1">
      <alignment horizontal="center"/>
    </xf>
    <xf numFmtId="0" fontId="5" fillId="20" borderId="54" xfId="0" applyFont="1" applyFill="1" applyBorder="1" applyAlignment="1" applyProtection="1">
      <alignment horizontal="center"/>
    </xf>
    <xf numFmtId="0" fontId="5" fillId="20" borderId="38" xfId="0" applyFont="1" applyFill="1" applyBorder="1" applyAlignment="1" applyProtection="1">
      <alignment horizontal="center"/>
    </xf>
    <xf numFmtId="0" fontId="5" fillId="20" borderId="39" xfId="0" applyFont="1" applyFill="1" applyBorder="1" applyAlignment="1" applyProtection="1">
      <alignment horizontal="center"/>
    </xf>
    <xf numFmtId="0" fontId="10" fillId="0" borderId="93" xfId="0" applyFont="1" applyBorder="1" applyAlignment="1" applyProtection="1">
      <alignment horizontal="center"/>
    </xf>
    <xf numFmtId="0" fontId="5" fillId="0" borderId="84" xfId="0" applyFont="1" applyBorder="1" applyProtection="1"/>
    <xf numFmtId="0" fontId="5" fillId="0" borderId="29" xfId="0" applyFont="1" applyBorder="1" applyProtection="1"/>
    <xf numFmtId="0" fontId="5" fillId="0" borderId="30" xfId="0" applyFont="1" applyBorder="1" applyProtection="1"/>
    <xf numFmtId="0" fontId="10" fillId="0" borderId="40" xfId="0" applyFont="1" applyBorder="1" applyAlignment="1" applyProtection="1">
      <alignment horizontal="center"/>
    </xf>
    <xf numFmtId="3" fontId="5" fillId="0" borderId="0" xfId="0" applyNumberFormat="1" applyFont="1" applyProtection="1"/>
    <xf numFmtId="3" fontId="5" fillId="0" borderId="30" xfId="0" applyNumberFormat="1" applyFont="1" applyBorder="1" applyProtection="1"/>
    <xf numFmtId="3" fontId="10" fillId="0" borderId="40" xfId="0" applyNumberFormat="1" applyFont="1" applyBorder="1" applyAlignment="1" applyProtection="1">
      <alignment horizontal="center"/>
    </xf>
    <xf numFmtId="3" fontId="5" fillId="0" borderId="27" xfId="0" applyNumberFormat="1" applyFont="1" applyBorder="1" applyProtection="1"/>
    <xf numFmtId="3" fontId="5" fillId="0" borderId="84" xfId="0" applyNumberFormat="1" applyFont="1" applyBorder="1" applyProtection="1"/>
    <xf numFmtId="3" fontId="5" fillId="0" borderId="29" xfId="0" applyNumberFormat="1" applyFont="1" applyBorder="1" applyProtection="1"/>
    <xf numFmtId="0" fontId="5" fillId="21" borderId="0" xfId="0" applyFont="1" applyFill="1" applyProtection="1"/>
    <xf numFmtId="0" fontId="10" fillId="20" borderId="82" xfId="0" applyFont="1" applyFill="1" applyBorder="1" applyAlignment="1" applyProtection="1">
      <alignment horizontal="center"/>
    </xf>
    <xf numFmtId="0" fontId="10" fillId="20" borderId="55" xfId="0" applyFont="1" applyFill="1" applyBorder="1" applyAlignment="1" applyProtection="1">
      <alignment horizontal="center"/>
    </xf>
    <xf numFmtId="0" fontId="5" fillId="20" borderId="56" xfId="0" applyFont="1" applyFill="1" applyBorder="1" applyProtection="1"/>
    <xf numFmtId="0" fontId="5" fillId="20" borderId="11" xfId="0" applyFont="1" applyFill="1" applyBorder="1" applyProtection="1"/>
    <xf numFmtId="0" fontId="5" fillId="20" borderId="83" xfId="0" applyFont="1" applyFill="1" applyBorder="1" applyProtection="1"/>
    <xf numFmtId="0" fontId="12" fillId="0" borderId="30" xfId="0" applyFont="1" applyBorder="1" applyProtection="1"/>
    <xf numFmtId="3" fontId="37" fillId="0" borderId="40" xfId="0" applyNumberFormat="1" applyFont="1" applyBorder="1" applyAlignment="1" applyProtection="1">
      <alignment horizontal="center"/>
    </xf>
    <xf numFmtId="3" fontId="12" fillId="0" borderId="27" xfId="0" applyNumberFormat="1" applyFont="1" applyBorder="1" applyProtection="1"/>
    <xf numFmtId="3" fontId="12" fillId="0" borderId="84" xfId="0" applyNumberFormat="1" applyFont="1" applyBorder="1" applyProtection="1"/>
    <xf numFmtId="9" fontId="5" fillId="0" borderId="30" xfId="0" applyNumberFormat="1" applyFont="1" applyBorder="1" applyProtection="1"/>
    <xf numFmtId="9" fontId="10" fillId="0" borderId="40" xfId="0" applyNumberFormat="1" applyFont="1" applyBorder="1" applyAlignment="1" applyProtection="1">
      <alignment horizontal="center"/>
    </xf>
    <xf numFmtId="9" fontId="5" fillId="0" borderId="0" xfId="0" applyNumberFormat="1" applyFont="1" applyProtection="1"/>
    <xf numFmtId="10" fontId="10" fillId="0" borderId="40" xfId="0" applyNumberFormat="1" applyFont="1" applyBorder="1" applyAlignment="1" applyProtection="1">
      <alignment horizontal="center"/>
    </xf>
    <xf numFmtId="0" fontId="5" fillId="0" borderId="94" xfId="0" applyFont="1" applyBorder="1" applyProtection="1"/>
    <xf numFmtId="3" fontId="10" fillId="0" borderId="95" xfId="0" applyNumberFormat="1" applyFont="1" applyBorder="1" applyAlignment="1" applyProtection="1">
      <alignment horizontal="center"/>
    </xf>
    <xf numFmtId="3" fontId="5" fillId="0" borderId="96" xfId="0" applyNumberFormat="1" applyFont="1" applyBorder="1" applyProtection="1"/>
    <xf numFmtId="3" fontId="5" fillId="0" borderId="97" xfId="0" applyNumberFormat="1" applyFont="1" applyBorder="1" applyProtection="1"/>
    <xf numFmtId="3" fontId="5" fillId="0" borderId="98" xfId="0" applyNumberFormat="1" applyFont="1" applyBorder="1" applyProtection="1"/>
    <xf numFmtId="0" fontId="10" fillId="0" borderId="30" xfId="0" applyFont="1" applyBorder="1" applyProtection="1"/>
    <xf numFmtId="3" fontId="10" fillId="0" borderId="27" xfId="0" applyNumberFormat="1" applyFont="1" applyBorder="1" applyProtection="1"/>
    <xf numFmtId="3" fontId="10" fillId="0" borderId="84" xfId="0" applyNumberFormat="1" applyFont="1" applyBorder="1" applyProtection="1"/>
    <xf numFmtId="0" fontId="37" fillId="0" borderId="30" xfId="0" applyFont="1" applyBorder="1" applyProtection="1"/>
    <xf numFmtId="3" fontId="37" fillId="0" borderId="27" xfId="0" applyNumberFormat="1" applyFont="1" applyBorder="1" applyProtection="1"/>
    <xf numFmtId="3" fontId="37" fillId="0" borderId="84" xfId="0" applyNumberFormat="1" applyFont="1" applyBorder="1" applyProtection="1"/>
    <xf numFmtId="0" fontId="5" fillId="0" borderId="37" xfId="0" applyFont="1" applyBorder="1" applyProtection="1"/>
    <xf numFmtId="3" fontId="10" fillId="0" borderId="99" xfId="0" applyNumberFormat="1" applyFont="1" applyBorder="1" applyAlignment="1" applyProtection="1">
      <alignment horizontal="center"/>
    </xf>
    <xf numFmtId="3" fontId="5" fillId="0" borderId="54" xfId="0" applyNumberFormat="1" applyFont="1" applyBorder="1" applyProtection="1"/>
    <xf numFmtId="3" fontId="5" fillId="0" borderId="38" xfId="0" applyNumberFormat="1" applyFont="1" applyBorder="1" applyProtection="1"/>
    <xf numFmtId="3" fontId="5" fillId="0" borderId="39" xfId="0" applyNumberFormat="1" applyFont="1" applyBorder="1" applyProtection="1"/>
    <xf numFmtId="3" fontId="10" fillId="0" borderId="0" xfId="0" applyNumberFormat="1" applyFont="1" applyAlignment="1" applyProtection="1">
      <alignment horizontal="center"/>
    </xf>
    <xf numFmtId="3" fontId="5" fillId="0" borderId="40" xfId="0" applyNumberFormat="1" applyFont="1" applyBorder="1" applyProtection="1"/>
    <xf numFmtId="0" fontId="5" fillId="0" borderId="0" xfId="0" applyFont="1" applyFill="1" applyProtection="1"/>
    <xf numFmtId="0" fontId="5" fillId="0" borderId="40" xfId="0" applyFont="1" applyBorder="1" applyProtection="1"/>
    <xf numFmtId="0" fontId="12" fillId="0" borderId="0" xfId="0" quotePrefix="1" applyFont="1" applyFill="1" applyProtection="1"/>
    <xf numFmtId="0" fontId="10" fillId="0" borderId="0" xfId="0" applyFont="1" applyFill="1" applyAlignment="1" applyProtection="1">
      <alignment horizontal="center"/>
    </xf>
    <xf numFmtId="0" fontId="5" fillId="19" borderId="27" xfId="0" applyFont="1" applyFill="1" applyBorder="1" applyProtection="1">
      <protection locked="0"/>
    </xf>
    <xf numFmtId="0" fontId="5" fillId="19" borderId="84" xfId="0" applyFont="1" applyFill="1" applyBorder="1" applyProtection="1">
      <protection locked="0"/>
    </xf>
    <xf numFmtId="0" fontId="5" fillId="19" borderId="29" xfId="0" applyFont="1" applyFill="1" applyBorder="1" applyProtection="1">
      <protection locked="0"/>
    </xf>
    <xf numFmtId="3" fontId="5" fillId="19" borderId="27" xfId="0" applyNumberFormat="1" applyFont="1" applyFill="1" applyBorder="1" applyProtection="1">
      <protection locked="0"/>
    </xf>
    <xf numFmtId="3" fontId="5" fillId="19" borderId="84" xfId="0" applyNumberFormat="1" applyFont="1" applyFill="1" applyBorder="1" applyProtection="1">
      <protection locked="0"/>
    </xf>
    <xf numFmtId="3" fontId="5" fillId="19" borderId="29" xfId="0" applyNumberFormat="1" applyFont="1" applyFill="1" applyBorder="1" applyProtection="1">
      <protection locked="0"/>
    </xf>
    <xf numFmtId="0" fontId="5" fillId="19" borderId="30" xfId="0" applyFont="1" applyFill="1" applyBorder="1" applyProtection="1">
      <protection locked="0"/>
    </xf>
    <xf numFmtId="3" fontId="10" fillId="19" borderId="40" xfId="0" applyNumberFormat="1" applyFont="1" applyFill="1" applyBorder="1" applyAlignment="1" applyProtection="1">
      <alignment horizontal="center"/>
      <protection locked="0"/>
    </xf>
    <xf numFmtId="9" fontId="5" fillId="19" borderId="27" xfId="0" applyNumberFormat="1" applyFont="1" applyFill="1" applyBorder="1" applyProtection="1">
      <protection locked="0"/>
    </xf>
    <xf numFmtId="9" fontId="5" fillId="19" borderId="84" xfId="0" applyNumberFormat="1" applyFont="1" applyFill="1" applyBorder="1" applyProtection="1">
      <protection locked="0"/>
    </xf>
    <xf numFmtId="9" fontId="5" fillId="19" borderId="29" xfId="0" applyNumberFormat="1" applyFont="1" applyFill="1" applyBorder="1" applyProtection="1">
      <protection locked="0"/>
    </xf>
    <xf numFmtId="0" fontId="7" fillId="0" borderId="0" xfId="0" applyFont="1" applyAlignment="1" applyProtection="1">
      <alignment horizontal="centerContinuous"/>
    </xf>
    <xf numFmtId="15" fontId="5" fillId="0" borderId="0" xfId="0" applyNumberFormat="1" applyFont="1" applyProtection="1"/>
    <xf numFmtId="15" fontId="3" fillId="0" borderId="0" xfId="0" applyNumberFormat="1" applyFont="1" applyFill="1" applyBorder="1" applyAlignment="1" applyProtection="1">
      <alignment horizontal="center"/>
    </xf>
    <xf numFmtId="176" fontId="3" fillId="0" borderId="0" xfId="0" applyNumberFormat="1" applyFont="1" applyFill="1" applyBorder="1" applyAlignment="1" applyProtection="1">
      <alignment horizontal="center"/>
    </xf>
    <xf numFmtId="0" fontId="12" fillId="19" borderId="100" xfId="0" applyFont="1" applyFill="1" applyBorder="1" applyAlignment="1" applyProtection="1">
      <alignment horizontal="center"/>
      <protection locked="0"/>
    </xf>
    <xf numFmtId="0" fontId="5" fillId="19" borderId="100" xfId="0" applyFont="1" applyFill="1" applyBorder="1" applyAlignment="1" applyProtection="1">
      <alignment horizontal="center"/>
      <protection locked="0"/>
    </xf>
    <xf numFmtId="0" fontId="5" fillId="0" borderId="3" xfId="0" applyFont="1" applyBorder="1" applyAlignment="1" applyProtection="1">
      <alignment horizontal="center"/>
    </xf>
    <xf numFmtId="0" fontId="10" fillId="0" borderId="22" xfId="91" applyFont="1" applyFill="1" applyBorder="1" applyAlignment="1" applyProtection="1">
      <alignment horizontal="center"/>
    </xf>
    <xf numFmtId="0" fontId="36" fillId="20" borderId="101" xfId="0" applyFont="1" applyFill="1" applyBorder="1" applyAlignment="1" applyProtection="1">
      <alignment horizontal="centerContinuous"/>
    </xf>
    <xf numFmtId="0" fontId="12" fillId="19" borderId="85" xfId="0" applyFont="1" applyFill="1" applyBorder="1" applyAlignment="1" applyProtection="1">
      <alignment horizontal="center"/>
      <protection locked="0"/>
    </xf>
    <xf numFmtId="0" fontId="5" fillId="20" borderId="47" xfId="0" applyFont="1" applyFill="1" applyBorder="1" applyAlignment="1" applyProtection="1">
      <alignment horizontal="center"/>
    </xf>
    <xf numFmtId="0" fontId="5" fillId="21" borderId="0" xfId="0" applyFont="1" applyFill="1" applyBorder="1" applyProtection="1"/>
    <xf numFmtId="3" fontId="12" fillId="0" borderId="0" xfId="0" applyNumberFormat="1" applyFont="1" applyBorder="1" applyProtection="1"/>
    <xf numFmtId="9" fontId="5" fillId="0" borderId="0" xfId="0" applyNumberFormat="1" applyFont="1" applyBorder="1" applyProtection="1"/>
    <xf numFmtId="3" fontId="12" fillId="0" borderId="29" xfId="0" applyNumberFormat="1" applyFont="1" applyBorder="1" applyProtection="1"/>
    <xf numFmtId="3" fontId="10" fillId="0" borderId="29" xfId="0" applyNumberFormat="1" applyFont="1" applyBorder="1" applyProtection="1"/>
    <xf numFmtId="3" fontId="37" fillId="0" borderId="29" xfId="0" applyNumberFormat="1" applyFont="1" applyBorder="1" applyProtection="1"/>
    <xf numFmtId="0" fontId="26" fillId="0" borderId="0" xfId="0" applyFont="1" applyAlignment="1" applyProtection="1"/>
    <xf numFmtId="0" fontId="45" fillId="0" borderId="0" xfId="0" applyFont="1" applyProtection="1"/>
    <xf numFmtId="0" fontId="5" fillId="0" borderId="0" xfId="0" quotePrefix="1" applyFont="1" applyAlignment="1" applyProtection="1">
      <alignment horizontal="right"/>
    </xf>
    <xf numFmtId="0" fontId="9" fillId="20" borderId="48" xfId="0" applyFont="1" applyFill="1" applyBorder="1" applyAlignment="1" applyProtection="1">
      <alignment horizontal="centerContinuous"/>
    </xf>
    <xf numFmtId="0" fontId="5" fillId="0" borderId="11" xfId="0" applyFont="1" applyBorder="1" applyAlignment="1" applyProtection="1">
      <alignment horizontal="right"/>
    </xf>
    <xf numFmtId="166" fontId="5" fillId="19" borderId="11" xfId="0" applyNumberFormat="1" applyFont="1" applyFill="1" applyBorder="1" applyAlignment="1" applyProtection="1">
      <alignment vertical="top"/>
      <protection locked="0"/>
    </xf>
    <xf numFmtId="10" fontId="5" fillId="19" borderId="11" xfId="0" applyNumberFormat="1" applyFont="1" applyFill="1" applyBorder="1" applyProtection="1">
      <protection locked="0"/>
    </xf>
    <xf numFmtId="15" fontId="5" fillId="19" borderId="11" xfId="0" applyNumberFormat="1" applyFont="1" applyFill="1" applyBorder="1" applyAlignment="1" applyProtection="1">
      <alignment horizontal="center" vertical="center" wrapText="1"/>
      <protection locked="0"/>
    </xf>
    <xf numFmtId="49" fontId="5" fillId="19" borderId="11" xfId="0" applyNumberFormat="1" applyFont="1" applyFill="1" applyBorder="1" applyAlignment="1" applyProtection="1">
      <alignment horizontal="center" vertical="center" wrapText="1"/>
      <protection locked="0"/>
    </xf>
    <xf numFmtId="0" fontId="9" fillId="20" borderId="44" xfId="0" applyFont="1" applyFill="1" applyBorder="1" applyAlignment="1" applyProtection="1">
      <alignment horizontal="centerContinuous"/>
    </xf>
    <xf numFmtId="167" fontId="5" fillId="19" borderId="11" xfId="0" applyNumberFormat="1" applyFont="1" applyFill="1" applyBorder="1" applyAlignment="1" applyProtection="1">
      <alignment horizontal="center"/>
      <protection locked="0"/>
    </xf>
    <xf numFmtId="178" fontId="5" fillId="19" borderId="11" xfId="0" applyNumberFormat="1" applyFont="1" applyFill="1" applyBorder="1" applyAlignment="1" applyProtection="1">
      <alignment horizontal="center"/>
      <protection locked="0"/>
    </xf>
    <xf numFmtId="14" fontId="20" fillId="19" borderId="11" xfId="0" applyNumberFormat="1" applyFont="1" applyFill="1" applyBorder="1" applyProtection="1">
      <protection locked="0"/>
    </xf>
    <xf numFmtId="0" fontId="5" fillId="0" borderId="3" xfId="0" applyFont="1" applyBorder="1" applyAlignment="1" applyProtection="1">
      <alignment horizontal="center" wrapText="1"/>
    </xf>
    <xf numFmtId="1" fontId="20" fillId="19" borderId="11" xfId="0" applyNumberFormat="1" applyFont="1" applyFill="1" applyBorder="1" applyAlignment="1" applyProtection="1">
      <alignment horizontal="center" vertical="center"/>
      <protection locked="0"/>
    </xf>
    <xf numFmtId="0" fontId="20" fillId="19" borderId="11" xfId="0" applyFont="1" applyFill="1" applyBorder="1" applyAlignment="1" applyProtection="1">
      <alignment horizontal="center" vertical="center"/>
      <protection locked="0"/>
    </xf>
    <xf numFmtId="0" fontId="5" fillId="19" borderId="11" xfId="0" applyFont="1" applyFill="1" applyBorder="1" applyAlignment="1" applyProtection="1">
      <alignment horizontal="center"/>
      <protection locked="0"/>
    </xf>
    <xf numFmtId="0" fontId="20" fillId="19" borderId="11" xfId="0" applyFont="1" applyFill="1" applyBorder="1" applyProtection="1">
      <protection locked="0"/>
    </xf>
    <xf numFmtId="0" fontId="10" fillId="20" borderId="44" xfId="0" applyFont="1" applyFill="1" applyBorder="1" applyAlignment="1" applyProtection="1"/>
    <xf numFmtId="0" fontId="10" fillId="20" borderId="48" xfId="0" applyFont="1" applyFill="1" applyBorder="1" applyAlignment="1" applyProtection="1"/>
    <xf numFmtId="0" fontId="10" fillId="20" borderId="45" xfId="0" applyFont="1" applyFill="1" applyBorder="1" applyAlignment="1" applyProtection="1"/>
    <xf numFmtId="5" fontId="20" fillId="19" borderId="11" xfId="0" applyNumberFormat="1" applyFont="1" applyFill="1" applyBorder="1" applyProtection="1">
      <protection locked="0"/>
    </xf>
    <xf numFmtId="5" fontId="20" fillId="19" borderId="35" xfId="0" applyNumberFormat="1" applyFont="1" applyFill="1" applyBorder="1" applyProtection="1">
      <protection locked="0"/>
    </xf>
    <xf numFmtId="5" fontId="20" fillId="0" borderId="57" xfId="0" applyNumberFormat="1" applyFont="1" applyFill="1" applyBorder="1" applyProtection="1"/>
    <xf numFmtId="7" fontId="20" fillId="0" borderId="3" xfId="0" applyNumberFormat="1" applyFont="1" applyFill="1" applyBorder="1" applyProtection="1"/>
    <xf numFmtId="15" fontId="20" fillId="19" borderId="11" xfId="0" applyNumberFormat="1" applyFont="1" applyFill="1" applyBorder="1" applyProtection="1">
      <protection locked="0"/>
    </xf>
    <xf numFmtId="1" fontId="20" fillId="19" borderId="11" xfId="0" applyNumberFormat="1" applyFont="1" applyFill="1" applyBorder="1" applyProtection="1">
      <protection locked="0"/>
    </xf>
    <xf numFmtId="0" fontId="5" fillId="0" borderId="0" xfId="0" applyFont="1" applyFill="1" applyAlignment="1" applyProtection="1">
      <alignment horizontal="left"/>
    </xf>
    <xf numFmtId="0" fontId="21" fillId="0" borderId="3" xfId="0" applyFont="1" applyFill="1" applyBorder="1" applyAlignment="1" applyProtection="1">
      <alignment horizontal="center" wrapText="1"/>
    </xf>
    <xf numFmtId="0" fontId="21" fillId="0" borderId="0" xfId="0" applyFont="1" applyFill="1" applyAlignment="1" applyProtection="1">
      <alignment horizontal="center" wrapText="1"/>
    </xf>
    <xf numFmtId="0" fontId="5" fillId="0" borderId="0" xfId="0" quotePrefix="1" applyFont="1" applyFill="1" applyProtection="1"/>
    <xf numFmtId="41" fontId="5" fillId="0" borderId="0" xfId="0" applyNumberFormat="1" applyFont="1" applyFill="1" applyProtection="1"/>
    <xf numFmtId="0" fontId="5" fillId="0" borderId="0" xfId="0" quotePrefix="1" applyFont="1" applyFill="1" applyAlignment="1" applyProtection="1">
      <alignment vertical="top"/>
    </xf>
    <xf numFmtId="0" fontId="5" fillId="0" borderId="89" xfId="0" applyFont="1" applyFill="1" applyBorder="1" applyProtection="1"/>
    <xf numFmtId="0" fontId="5" fillId="0" borderId="0" xfId="0" quotePrefix="1" applyFont="1" applyFill="1" applyAlignment="1" applyProtection="1">
      <alignment vertical="top" wrapText="1"/>
    </xf>
    <xf numFmtId="0" fontId="45" fillId="0" borderId="0" xfId="0" applyFont="1" applyFill="1" applyAlignment="1" applyProtection="1">
      <alignment horizontal="center"/>
    </xf>
    <xf numFmtId="0" fontId="11" fillId="0" borderId="0" xfId="0" applyFont="1" applyFill="1" applyProtection="1"/>
    <xf numFmtId="0" fontId="5" fillId="0" borderId="3" xfId="0" applyFont="1" applyFill="1" applyBorder="1" applyAlignment="1" applyProtection="1">
      <alignment horizontal="center" wrapText="1"/>
    </xf>
    <xf numFmtId="0" fontId="5" fillId="0" borderId="0" xfId="0" applyFont="1" applyFill="1" applyAlignment="1" applyProtection="1">
      <alignment horizontal="center" wrapText="1"/>
    </xf>
    <xf numFmtId="0" fontId="10" fillId="0" borderId="0" xfId="0" applyFont="1" applyFill="1" applyProtection="1"/>
    <xf numFmtId="0" fontId="46" fillId="0" borderId="0" xfId="0" applyFont="1" applyFill="1" applyProtection="1"/>
    <xf numFmtId="0" fontId="5" fillId="0" borderId="0" xfId="0" applyFont="1" applyFill="1" applyAlignment="1" applyProtection="1">
      <alignment horizontal="right"/>
    </xf>
    <xf numFmtId="0" fontId="5" fillId="0" borderId="3" xfId="0" applyFont="1" applyFill="1" applyBorder="1" applyProtection="1"/>
    <xf numFmtId="41" fontId="5" fillId="19" borderId="11" xfId="0" applyNumberFormat="1" applyFont="1" applyFill="1" applyBorder="1" applyProtection="1">
      <protection locked="0"/>
    </xf>
    <xf numFmtId="10" fontId="5" fillId="19" borderId="11" xfId="96" applyNumberFormat="1" applyFont="1" applyFill="1" applyBorder="1" applyProtection="1">
      <protection locked="0"/>
    </xf>
    <xf numFmtId="166" fontId="5" fillId="19" borderId="11" xfId="0" applyNumberFormat="1" applyFont="1" applyFill="1" applyBorder="1" applyAlignment="1" applyProtection="1">
      <protection locked="0"/>
    </xf>
    <xf numFmtId="166" fontId="5" fillId="19" borderId="97" xfId="0" applyNumberFormat="1" applyFont="1" applyFill="1" applyBorder="1" applyAlignment="1" applyProtection="1">
      <protection locked="0"/>
    </xf>
    <xf numFmtId="10" fontId="5" fillId="19" borderId="11" xfId="96" applyNumberFormat="1" applyFont="1" applyFill="1" applyBorder="1" applyAlignment="1" applyProtection="1">
      <protection locked="0"/>
    </xf>
    <xf numFmtId="10" fontId="5" fillId="19" borderId="11" xfId="0" applyNumberFormat="1" applyFont="1" applyFill="1" applyBorder="1" applyAlignment="1" applyProtection="1">
      <protection locked="0"/>
    </xf>
    <xf numFmtId="171" fontId="5" fillId="19" borderId="11" xfId="57" applyNumberFormat="1" applyFont="1" applyFill="1" applyBorder="1" applyAlignment="1" applyProtection="1">
      <alignment horizontal="right" vertical="top"/>
      <protection locked="0"/>
    </xf>
    <xf numFmtId="171" fontId="20" fillId="19" borderId="11" xfId="57" applyNumberFormat="1" applyFont="1" applyFill="1" applyBorder="1" applyAlignment="1" applyProtection="1">
      <alignment vertical="top"/>
      <protection locked="0"/>
    </xf>
    <xf numFmtId="10" fontId="20" fillId="19" borderId="11" xfId="96" applyNumberFormat="1" applyFont="1" applyFill="1" applyBorder="1" applyAlignment="1" applyProtection="1">
      <alignment vertical="top"/>
      <protection locked="0"/>
    </xf>
    <xf numFmtId="165" fontId="5" fillId="19" borderId="11" xfId="0" applyNumberFormat="1" applyFont="1" applyFill="1" applyBorder="1" applyAlignment="1" applyProtection="1">
      <alignment vertical="top"/>
      <protection locked="0"/>
    </xf>
    <xf numFmtId="41" fontId="5" fillId="0" borderId="11" xfId="0" applyNumberFormat="1" applyFont="1" applyFill="1" applyBorder="1" applyProtection="1"/>
    <xf numFmtId="14" fontId="5" fillId="0" borderId="11" xfId="0" applyNumberFormat="1" applyFont="1" applyFill="1" applyBorder="1" applyProtection="1"/>
    <xf numFmtId="44" fontId="5" fillId="19" borderId="11" xfId="57" applyFont="1" applyFill="1" applyBorder="1" applyProtection="1">
      <protection locked="0"/>
    </xf>
    <xf numFmtId="9" fontId="5" fillId="19" borderId="11" xfId="96" applyFont="1" applyFill="1" applyBorder="1" applyProtection="1">
      <protection locked="0"/>
    </xf>
    <xf numFmtId="39" fontId="5" fillId="19" borderId="11" xfId="57" applyNumberFormat="1" applyFont="1" applyFill="1" applyBorder="1" applyProtection="1">
      <protection locked="0"/>
    </xf>
    <xf numFmtId="41" fontId="20" fillId="0" borderId="0" xfId="0" applyNumberFormat="1" applyFont="1" applyFill="1" applyProtection="1"/>
    <xf numFmtId="0" fontId="20" fillId="0" borderId="0" xfId="0" applyFont="1" applyFill="1" applyProtection="1"/>
    <xf numFmtId="41" fontId="20" fillId="19" borderId="11" xfId="0" applyNumberFormat="1" applyFont="1" applyFill="1" applyBorder="1" applyProtection="1">
      <protection locked="0"/>
    </xf>
    <xf numFmtId="0" fontId="5" fillId="0" borderId="102" xfId="0" applyFont="1" applyBorder="1" applyProtection="1"/>
    <xf numFmtId="0" fontId="5" fillId="0" borderId="103" xfId="0" applyFont="1" applyBorder="1" applyProtection="1"/>
    <xf numFmtId="0" fontId="5" fillId="0" borderId="78" xfId="0" applyFont="1" applyBorder="1" applyProtection="1"/>
    <xf numFmtId="0" fontId="5" fillId="0" borderId="42" xfId="0" applyFont="1" applyBorder="1" applyProtection="1"/>
    <xf numFmtId="0" fontId="12" fillId="0" borderId="104" xfId="0" applyFont="1" applyBorder="1" applyProtection="1"/>
    <xf numFmtId="0" fontId="12" fillId="0" borderId="105" xfId="0" applyFont="1" applyBorder="1" applyProtection="1"/>
    <xf numFmtId="167" fontId="5" fillId="0" borderId="43" xfId="0" applyNumberFormat="1" applyFont="1" applyBorder="1" applyAlignment="1" applyProtection="1">
      <alignment horizontal="left"/>
    </xf>
    <xf numFmtId="0" fontId="5" fillId="0" borderId="105" xfId="0" applyFont="1" applyBorder="1" applyProtection="1"/>
    <xf numFmtId="167" fontId="12" fillId="0" borderId="106" xfId="0" applyNumberFormat="1" applyFont="1" applyBorder="1" applyAlignment="1" applyProtection="1">
      <alignment horizontal="left"/>
    </xf>
    <xf numFmtId="0" fontId="5" fillId="0" borderId="0" xfId="0" quotePrefix="1" applyFont="1" applyAlignment="1" applyProtection="1">
      <alignment horizontal="left" vertical="top"/>
    </xf>
    <xf numFmtId="41" fontId="20" fillId="0" borderId="11" xfId="0" applyNumberFormat="1" applyFont="1" applyFill="1" applyBorder="1" applyProtection="1"/>
    <xf numFmtId="4" fontId="20" fillId="19" borderId="35" xfId="0" applyNumberFormat="1" applyFont="1" applyFill="1" applyBorder="1" applyAlignment="1" applyProtection="1">
      <alignment horizontal="center"/>
      <protection locked="0"/>
    </xf>
    <xf numFmtId="0" fontId="20" fillId="0" borderId="107" xfId="0" applyFont="1" applyBorder="1" applyAlignment="1" applyProtection="1">
      <alignment horizontal="right"/>
    </xf>
    <xf numFmtId="0" fontId="20" fillId="19" borderId="35" xfId="0" applyFont="1" applyFill="1" applyBorder="1" applyAlignment="1" applyProtection="1">
      <alignment horizontal="center"/>
      <protection locked="0"/>
    </xf>
    <xf numFmtId="0" fontId="20" fillId="20" borderId="58" xfId="0" applyFont="1" applyFill="1" applyBorder="1" applyAlignment="1" applyProtection="1">
      <alignment horizontal="center" wrapText="1"/>
    </xf>
    <xf numFmtId="0" fontId="20" fillId="20" borderId="45" xfId="0" applyFont="1" applyFill="1" applyBorder="1" applyAlignment="1" applyProtection="1">
      <alignment horizontal="center" wrapText="1"/>
    </xf>
    <xf numFmtId="0" fontId="4" fillId="0" borderId="0" xfId="0" applyFont="1"/>
    <xf numFmtId="0" fontId="5" fillId="0" borderId="0" xfId="0" applyFont="1" applyAlignment="1">
      <alignment horizontal="right"/>
    </xf>
    <xf numFmtId="44" fontId="5" fillId="0" borderId="0" xfId="57" applyFont="1"/>
    <xf numFmtId="44" fontId="5" fillId="0" borderId="108" xfId="0" applyNumberFormat="1" applyFont="1" applyBorder="1"/>
    <xf numFmtId="179" fontId="5" fillId="0" borderId="0" xfId="96" applyNumberFormat="1" applyFont="1"/>
    <xf numFmtId="169" fontId="10" fillId="0" borderId="11" xfId="91" applyNumberFormat="1" applyFont="1" applyFill="1" applyBorder="1" applyAlignment="1">
      <alignment horizontal="center"/>
    </xf>
    <xf numFmtId="5" fontId="5" fillId="0" borderId="0" xfId="0" applyNumberFormat="1" applyFont="1" applyAlignment="1" applyProtection="1">
      <alignment horizontal="center"/>
    </xf>
    <xf numFmtId="176" fontId="5" fillId="0" borderId="0" xfId="0" applyNumberFormat="1" applyFont="1" applyAlignment="1" applyProtection="1">
      <alignment horizontal="left"/>
    </xf>
    <xf numFmtId="5" fontId="3" fillId="23" borderId="109" xfId="0" applyNumberFormat="1" applyFont="1" applyFill="1" applyBorder="1" applyAlignment="1" applyProtection="1">
      <alignment horizontal="center"/>
      <protection locked="0"/>
    </xf>
    <xf numFmtId="4" fontId="20" fillId="0" borderId="0" xfId="0" applyNumberFormat="1" applyFont="1" applyAlignment="1" applyProtection="1">
      <alignment horizontal="left"/>
    </xf>
    <xf numFmtId="0" fontId="5" fillId="0" borderId="100" xfId="0" applyFont="1" applyFill="1" applyBorder="1" applyAlignment="1" applyProtection="1">
      <alignment horizontal="center"/>
    </xf>
    <xf numFmtId="2" fontId="5" fillId="0" borderId="100" xfId="0" applyNumberFormat="1" applyFont="1" applyFill="1" applyBorder="1" applyAlignment="1" applyProtection="1">
      <alignment horizontal="center"/>
    </xf>
    <xf numFmtId="0" fontId="5" fillId="0" borderId="110" xfId="0" applyFont="1" applyFill="1" applyBorder="1" applyAlignment="1" applyProtection="1">
      <alignment horizontal="center"/>
    </xf>
    <xf numFmtId="0" fontId="12" fillId="0" borderId="100" xfId="0" applyFont="1" applyFill="1" applyBorder="1" applyAlignment="1" applyProtection="1">
      <alignment horizontal="center"/>
    </xf>
    <xf numFmtId="0" fontId="5" fillId="0" borderId="19" xfId="0" applyFont="1" applyFill="1" applyBorder="1" applyAlignment="1" applyProtection="1">
      <alignment horizontal="center"/>
    </xf>
    <xf numFmtId="0" fontId="10" fillId="0" borderId="0" xfId="0" applyFont="1" applyAlignment="1" applyProtection="1"/>
    <xf numFmtId="0" fontId="9" fillId="20" borderId="12" xfId="0" applyFont="1" applyFill="1" applyBorder="1" applyAlignment="1" applyProtection="1">
      <alignment horizontal="centerContinuous"/>
    </xf>
    <xf numFmtId="0" fontId="9" fillId="20" borderId="13" xfId="0" applyFont="1" applyFill="1" applyBorder="1" applyAlignment="1" applyProtection="1">
      <alignment horizontal="centerContinuous"/>
    </xf>
    <xf numFmtId="0" fontId="9" fillId="20" borderId="26" xfId="0" applyFont="1" applyFill="1" applyBorder="1" applyAlignment="1" applyProtection="1">
      <alignment horizontal="centerContinuous"/>
    </xf>
    <xf numFmtId="0" fontId="5" fillId="0" borderId="0" xfId="0" quotePrefix="1" applyFont="1" applyAlignment="1" applyProtection="1">
      <alignment horizontal="centerContinuous"/>
    </xf>
    <xf numFmtId="0" fontId="9" fillId="20" borderId="20" xfId="0" applyFont="1" applyFill="1" applyBorder="1" applyAlignment="1" applyProtection="1">
      <alignment horizontal="centerContinuous"/>
    </xf>
    <xf numFmtId="0" fontId="9" fillId="20" borderId="21" xfId="0" applyFont="1" applyFill="1" applyBorder="1" applyAlignment="1" applyProtection="1">
      <alignment horizontal="centerContinuous"/>
    </xf>
    <xf numFmtId="0" fontId="9" fillId="20" borderId="22" xfId="0" applyFont="1" applyFill="1" applyBorder="1" applyAlignment="1" applyProtection="1">
      <alignment horizontal="centerContinuous"/>
    </xf>
    <xf numFmtId="0" fontId="5" fillId="0" borderId="0" xfId="0" applyFont="1" applyFill="1" applyBorder="1" applyAlignment="1" applyProtection="1">
      <alignment vertical="top"/>
    </xf>
    <xf numFmtId="166" fontId="5" fillId="0" borderId="0" xfId="0" applyNumberFormat="1" applyFont="1" applyAlignment="1" applyProtection="1"/>
    <xf numFmtId="10" fontId="5" fillId="0" borderId="0" xfId="96" applyNumberFormat="1" applyFont="1" applyAlignment="1" applyProtection="1"/>
    <xf numFmtId="171" fontId="5" fillId="0" borderId="0" xfId="57" applyNumberFormat="1" applyFont="1" applyAlignment="1" applyProtection="1"/>
    <xf numFmtId="171" fontId="5" fillId="0" borderId="0" xfId="57" applyNumberFormat="1" applyFont="1" applyBorder="1" applyAlignment="1" applyProtection="1"/>
    <xf numFmtId="0" fontId="5" fillId="21" borderId="0" xfId="0" applyFont="1" applyFill="1" applyAlignment="1" applyProtection="1"/>
    <xf numFmtId="0" fontId="11" fillId="0" borderId="0" xfId="0" applyFont="1" applyAlignment="1" applyProtection="1"/>
    <xf numFmtId="0" fontId="45" fillId="0" borderId="0" xfId="0" applyFont="1" applyAlignment="1" applyProtection="1">
      <alignment horizontal="centerContinuous"/>
    </xf>
    <xf numFmtId="0" fontId="45" fillId="0" borderId="0" xfId="0" applyFont="1" applyAlignment="1" applyProtection="1">
      <alignment horizontal="center"/>
    </xf>
    <xf numFmtId="0" fontId="26" fillId="0" borderId="0" xfId="0" applyFont="1" applyFill="1" applyAlignment="1" applyProtection="1"/>
    <xf numFmtId="41" fontId="26" fillId="0" borderId="0" xfId="0" applyNumberFormat="1" applyFont="1" applyFill="1" applyAlignment="1" applyProtection="1"/>
    <xf numFmtId="171" fontId="5" fillId="0" borderId="0" xfId="0" applyNumberFormat="1" applyFont="1" applyAlignment="1" applyProtection="1"/>
    <xf numFmtId="0" fontId="46" fillId="0" borderId="0" xfId="0" applyFont="1" applyAlignment="1" applyProtection="1"/>
    <xf numFmtId="10" fontId="5" fillId="19" borderId="11" xfId="0" applyNumberFormat="1" applyFont="1" applyFill="1" applyBorder="1" applyAlignment="1" applyProtection="1"/>
    <xf numFmtId="166" fontId="5" fillId="0" borderId="0" xfId="0" applyNumberFormat="1" applyFont="1" applyBorder="1" applyAlignment="1" applyProtection="1"/>
    <xf numFmtId="0" fontId="5" fillId="0" borderId="0" xfId="0" applyFont="1" applyBorder="1" applyAlignment="1" applyProtection="1"/>
    <xf numFmtId="171" fontId="5" fillId="0" borderId="0" xfId="57" applyNumberFormat="1" applyFont="1" applyBorder="1" applyAlignment="1" applyProtection="1">
      <alignment horizontal="right"/>
    </xf>
    <xf numFmtId="171" fontId="5" fillId="0" borderId="0" xfId="57" applyNumberFormat="1" applyFont="1" applyFill="1" applyBorder="1" applyAlignment="1" applyProtection="1">
      <alignment horizontal="right" vertical="top"/>
    </xf>
    <xf numFmtId="0" fontId="5" fillId="0" borderId="0" xfId="0" applyFont="1" applyBorder="1" applyAlignment="1" applyProtection="1">
      <alignment horizontal="left"/>
    </xf>
    <xf numFmtId="171" fontId="5" fillId="0" borderId="0" xfId="57" applyNumberFormat="1" applyFont="1" applyFill="1" applyBorder="1" applyAlignment="1" applyProtection="1">
      <alignment horizontal="right"/>
    </xf>
    <xf numFmtId="0" fontId="5" fillId="0" borderId="0" xfId="0" applyFont="1" applyFill="1" applyBorder="1" applyAlignment="1" applyProtection="1"/>
    <xf numFmtId="0" fontId="5" fillId="0" borderId="0" xfId="0" applyFont="1" applyFill="1" applyAlignment="1" applyProtection="1"/>
    <xf numFmtId="165" fontId="5" fillId="0" borderId="0" xfId="0" applyNumberFormat="1" applyFont="1" applyFill="1" applyBorder="1" applyAlignment="1" applyProtection="1">
      <alignment vertical="top"/>
    </xf>
    <xf numFmtId="0" fontId="11" fillId="0" borderId="65" xfId="0" applyFont="1" applyBorder="1" applyAlignment="1" applyProtection="1">
      <alignment horizontal="left"/>
    </xf>
    <xf numFmtId="10" fontId="5" fillId="0" borderId="11" xfId="96" applyNumberFormat="1" applyFont="1" applyFill="1" applyBorder="1" applyProtection="1"/>
    <xf numFmtId="3" fontId="5" fillId="0" borderId="11" xfId="0" applyNumberFormat="1" applyFont="1" applyFill="1" applyBorder="1" applyProtection="1"/>
    <xf numFmtId="41" fontId="20" fillId="0" borderId="35" xfId="0" applyNumberFormat="1" applyFont="1" applyFill="1" applyBorder="1" applyProtection="1"/>
    <xf numFmtId="42" fontId="20" fillId="19" borderId="11" xfId="57" applyNumberFormat="1" applyFont="1" applyFill="1" applyBorder="1" applyProtection="1">
      <protection locked="0"/>
    </xf>
    <xf numFmtId="44" fontId="5" fillId="19" borderId="0" xfId="57" applyFont="1" applyFill="1" applyProtection="1">
      <protection locked="0"/>
    </xf>
    <xf numFmtId="38" fontId="26" fillId="0" borderId="0" xfId="0" applyNumberFormat="1" applyFont="1" applyProtection="1"/>
    <xf numFmtId="177" fontId="5" fillId="0" borderId="0" xfId="55" applyNumberFormat="1" applyFont="1" applyProtection="1"/>
    <xf numFmtId="0" fontId="10" fillId="0" borderId="11" xfId="0" applyFont="1" applyBorder="1" applyAlignment="1" applyProtection="1">
      <alignment horizontal="center"/>
    </xf>
    <xf numFmtId="0" fontId="5" fillId="0" borderId="0" xfId="0" applyFont="1" applyAlignment="1" applyProtection="1">
      <alignment wrapText="1"/>
    </xf>
    <xf numFmtId="0" fontId="9" fillId="20" borderId="45" xfId="0" applyFont="1" applyFill="1" applyBorder="1" applyAlignment="1" applyProtection="1">
      <alignment horizontal="centerContinuous"/>
    </xf>
    <xf numFmtId="0" fontId="9" fillId="0" borderId="0" xfId="0" applyFont="1" applyAlignment="1" applyProtection="1">
      <alignment horizontal="left"/>
    </xf>
    <xf numFmtId="0" fontId="5" fillId="0" borderId="0" xfId="0" applyNumberFormat="1" applyFont="1" applyFill="1" applyBorder="1" applyAlignment="1" applyProtection="1">
      <alignment vertical="top"/>
    </xf>
    <xf numFmtId="0" fontId="5" fillId="0" borderId="0" xfId="0" applyNumberFormat="1" applyFont="1" applyProtection="1"/>
    <xf numFmtId="0" fontId="5" fillId="0" borderId="0" xfId="0" applyNumberFormat="1" applyFont="1" applyFill="1" applyBorder="1" applyAlignment="1" applyProtection="1">
      <alignment horizontal="left" vertical="top"/>
    </xf>
    <xf numFmtId="0" fontId="5" fillId="0" borderId="0" xfId="0" applyFont="1" applyAlignment="1" applyProtection="1">
      <alignment vertical="top" wrapText="1"/>
    </xf>
    <xf numFmtId="49" fontId="5" fillId="0" borderId="0" xfId="0" applyNumberFormat="1" applyFont="1" applyAlignment="1" applyProtection="1">
      <alignment horizontal="left" wrapText="1"/>
    </xf>
    <xf numFmtId="15" fontId="5" fillId="0" borderId="0" xfId="0" applyNumberFormat="1" applyFont="1" applyAlignment="1" applyProtection="1">
      <alignment horizontal="center" wrapText="1"/>
    </xf>
    <xf numFmtId="49" fontId="5" fillId="0" borderId="0" xfId="0" applyNumberFormat="1" applyFont="1" applyFill="1" applyBorder="1" applyAlignment="1" applyProtection="1">
      <alignment vertical="top"/>
    </xf>
    <xf numFmtId="166" fontId="20" fillId="19" borderId="11" xfId="0" applyNumberFormat="1" applyFont="1" applyFill="1" applyBorder="1" applyAlignment="1" applyProtection="1">
      <alignment vertical="top" shrinkToFit="1"/>
    </xf>
    <xf numFmtId="0" fontId="5" fillId="20" borderId="48" xfId="0" applyFont="1" applyFill="1" applyBorder="1" applyAlignment="1" applyProtection="1">
      <alignment horizontal="centerContinuous"/>
    </xf>
    <xf numFmtId="0" fontId="5" fillId="20" borderId="45" xfId="0" applyFont="1" applyFill="1" applyBorder="1" applyAlignment="1" applyProtection="1">
      <alignment horizontal="centerContinuous"/>
    </xf>
    <xf numFmtId="0" fontId="9" fillId="0" borderId="0" xfId="0" applyFont="1" applyProtection="1"/>
    <xf numFmtId="0" fontId="42" fillId="0" borderId="0" xfId="0" applyFont="1" applyProtection="1"/>
    <xf numFmtId="0" fontId="42" fillId="0" borderId="0" xfId="0" applyFont="1" applyAlignment="1" applyProtection="1">
      <alignment horizontal="right"/>
    </xf>
    <xf numFmtId="0" fontId="7" fillId="0" borderId="0" xfId="0" applyFont="1" applyAlignment="1" applyProtection="1">
      <alignment horizontal="right"/>
    </xf>
    <xf numFmtId="0" fontId="53" fillId="20" borderId="44" xfId="0" applyFont="1" applyFill="1" applyBorder="1" applyAlignment="1" applyProtection="1">
      <alignment horizontal="centerContinuous"/>
    </xf>
    <xf numFmtId="0" fontId="53" fillId="20" borderId="48" xfId="0" applyFont="1" applyFill="1" applyBorder="1" applyAlignment="1" applyProtection="1">
      <alignment horizontal="centerContinuous"/>
    </xf>
    <xf numFmtId="0" fontId="45" fillId="20" borderId="48" xfId="0" applyFont="1" applyFill="1" applyBorder="1" applyAlignment="1" applyProtection="1">
      <alignment horizontal="centerContinuous"/>
    </xf>
    <xf numFmtId="0" fontId="45" fillId="20" borderId="45" xfId="0" applyFont="1" applyFill="1" applyBorder="1" applyAlignment="1" applyProtection="1">
      <alignment horizontal="centerContinuous"/>
    </xf>
    <xf numFmtId="0" fontId="10" fillId="0" borderId="0" xfId="0" applyFont="1" applyAlignment="1" applyProtection="1">
      <alignment horizontal="left"/>
    </xf>
    <xf numFmtId="0" fontId="10" fillId="0" borderId="0" xfId="0" applyFont="1" applyBorder="1" applyAlignment="1" applyProtection="1">
      <alignment horizontal="center"/>
    </xf>
    <xf numFmtId="164" fontId="5" fillId="0" borderId="100" xfId="0" applyNumberFormat="1" applyFont="1" applyFill="1" applyBorder="1" applyAlignment="1" applyProtection="1">
      <alignment horizontal="center"/>
    </xf>
    <xf numFmtId="0" fontId="5" fillId="0" borderId="57" xfId="0" applyFont="1" applyBorder="1" applyAlignment="1" applyProtection="1">
      <alignment horizontal="center"/>
    </xf>
    <xf numFmtId="0" fontId="5" fillId="0" borderId="56" xfId="0" applyFont="1" applyBorder="1" applyAlignment="1" applyProtection="1">
      <alignment horizontal="center"/>
    </xf>
    <xf numFmtId="0" fontId="26" fillId="0" borderId="0" xfId="0" applyFont="1" applyAlignment="1" applyProtection="1">
      <alignment horizontal="right"/>
    </xf>
    <xf numFmtId="0" fontId="10" fillId="0" borderId="55" xfId="0" applyFont="1" applyBorder="1" applyAlignment="1" applyProtection="1">
      <alignment horizontal="left"/>
    </xf>
    <xf numFmtId="0" fontId="5" fillId="24" borderId="0" xfId="89" applyFont="1" applyFill="1" applyAlignment="1">
      <alignment horizontal="left"/>
    </xf>
    <xf numFmtId="0" fontId="20" fillId="19" borderId="91" xfId="0" applyFont="1" applyFill="1" applyBorder="1" applyProtection="1">
      <protection locked="0"/>
    </xf>
    <xf numFmtId="0" fontId="20" fillId="0" borderId="32" xfId="0" applyFont="1" applyFill="1" applyBorder="1" applyProtection="1"/>
    <xf numFmtId="0" fontId="5" fillId="0" borderId="57" xfId="91" applyFont="1" applyFill="1" applyBorder="1"/>
    <xf numFmtId="0" fontId="5" fillId="0" borderId="57" xfId="0" applyFont="1" applyFill="1" applyBorder="1"/>
    <xf numFmtId="0" fontId="3" fillId="0" borderId="57" xfId="91" applyFont="1" applyFill="1" applyBorder="1" applyProtection="1">
      <protection locked="0"/>
    </xf>
    <xf numFmtId="0" fontId="3" fillId="0" borderId="56" xfId="0" applyFont="1" applyFill="1" applyBorder="1" applyProtection="1">
      <protection locked="0"/>
    </xf>
    <xf numFmtId="0" fontId="5" fillId="0" borderId="56" xfId="0" applyFont="1" applyFill="1" applyBorder="1"/>
    <xf numFmtId="0" fontId="5" fillId="0" borderId="36" xfId="0" applyFont="1" applyBorder="1" applyProtection="1"/>
    <xf numFmtId="169" fontId="20" fillId="0" borderId="35" xfId="91" applyNumberFormat="1" applyFont="1" applyFill="1" applyBorder="1" applyAlignment="1">
      <alignment horizontal="center"/>
    </xf>
    <xf numFmtId="169" fontId="20" fillId="0" borderId="56" xfId="91" applyNumberFormat="1" applyFont="1" applyBorder="1" applyAlignment="1">
      <alignment horizontal="center"/>
    </xf>
    <xf numFmtId="0" fontId="20" fillId="0" borderId="57" xfId="0" applyFont="1" applyBorder="1"/>
    <xf numFmtId="169" fontId="29" fillId="0" borderId="11" xfId="91" applyNumberFormat="1" applyFont="1" applyFill="1" applyBorder="1" applyAlignment="1" applyProtection="1">
      <alignment horizontal="center"/>
      <protection locked="0"/>
    </xf>
    <xf numFmtId="169" fontId="29" fillId="0" borderId="11" xfId="91" applyNumberFormat="1" applyFont="1" applyFill="1" applyBorder="1" applyAlignment="1">
      <alignment horizontal="center"/>
    </xf>
    <xf numFmtId="0" fontId="0" fillId="21" borderId="0" xfId="0" applyFill="1" applyAlignment="1" applyProtection="1"/>
    <xf numFmtId="0" fontId="0" fillId="21" borderId="3" xfId="0" applyFill="1" applyBorder="1" applyAlignment="1" applyProtection="1"/>
    <xf numFmtId="0" fontId="0" fillId="21" borderId="0" xfId="0" applyFill="1" applyBorder="1" applyAlignment="1" applyProtection="1">
      <alignment horizontal="right"/>
    </xf>
    <xf numFmtId="0" fontId="0" fillId="21" borderId="57" xfId="0" applyFill="1" applyBorder="1" applyAlignment="1" applyProtection="1"/>
    <xf numFmtId="0" fontId="54" fillId="20" borderId="44" xfId="0" applyFont="1" applyFill="1" applyBorder="1" applyAlignment="1" applyProtection="1">
      <alignment horizontal="centerContinuous"/>
    </xf>
    <xf numFmtId="0" fontId="54" fillId="20" borderId="48" xfId="0" applyFont="1" applyFill="1" applyBorder="1" applyAlignment="1" applyProtection="1">
      <alignment horizontal="centerContinuous"/>
    </xf>
    <xf numFmtId="0" fontId="54" fillId="20" borderId="45" xfId="0" applyFont="1" applyFill="1" applyBorder="1" applyAlignment="1" applyProtection="1">
      <alignment horizontal="centerContinuous"/>
    </xf>
    <xf numFmtId="0" fontId="9" fillId="21" borderId="0" xfId="0" applyFont="1" applyFill="1" applyAlignment="1" applyProtection="1">
      <alignment horizontal="centerContinuous"/>
    </xf>
    <xf numFmtId="0" fontId="5" fillId="21" borderId="0" xfId="0" applyFont="1" applyFill="1" applyAlignment="1" applyProtection="1">
      <alignment horizontal="centerContinuous"/>
    </xf>
    <xf numFmtId="0" fontId="5" fillId="21" borderId="0" xfId="0" quotePrefix="1" applyFont="1" applyFill="1" applyAlignment="1" applyProtection="1">
      <alignment horizontal="right" vertical="top"/>
    </xf>
    <xf numFmtId="0" fontId="5" fillId="21" borderId="0" xfId="0" applyFont="1" applyFill="1" applyAlignment="1" applyProtection="1">
      <alignment horizontal="right" vertical="top"/>
    </xf>
    <xf numFmtId="0" fontId="5" fillId="21" borderId="0" xfId="0" applyFont="1" applyFill="1" applyAlignment="1" applyProtection="1">
      <alignment horizontal="right"/>
    </xf>
    <xf numFmtId="0" fontId="5" fillId="21" borderId="3" xfId="0" applyFont="1" applyFill="1" applyBorder="1" applyAlignment="1" applyProtection="1"/>
    <xf numFmtId="0" fontId="9" fillId="20" borderId="0" xfId="0" applyFont="1" applyFill="1" applyAlignment="1" applyProtection="1">
      <alignment horizontal="centerContinuous"/>
    </xf>
    <xf numFmtId="0" fontId="5" fillId="20" borderId="0" xfId="0" applyFont="1" applyFill="1" applyAlignment="1" applyProtection="1">
      <alignment horizontal="centerContinuous"/>
    </xf>
    <xf numFmtId="0" fontId="9" fillId="20" borderId="0" xfId="0" applyFont="1" applyFill="1" applyBorder="1" applyAlignment="1" applyProtection="1">
      <alignment horizontal="centerContinuous"/>
    </xf>
    <xf numFmtId="0" fontId="5" fillId="20" borderId="0" xfId="0" applyFont="1" applyFill="1" applyBorder="1" applyAlignment="1" applyProtection="1">
      <alignment horizontal="centerContinuous"/>
    </xf>
    <xf numFmtId="0" fontId="9" fillId="21" borderId="0" xfId="0" applyFont="1" applyFill="1" applyAlignment="1" applyProtection="1">
      <alignment horizontal="center"/>
    </xf>
    <xf numFmtId="0" fontId="5" fillId="21" borderId="0" xfId="0" applyFont="1" applyFill="1" applyAlignment="1" applyProtection="1">
      <alignment vertical="top" wrapText="1"/>
    </xf>
    <xf numFmtId="0" fontId="5" fillId="21" borderId="57" xfId="0" applyFont="1" applyFill="1" applyBorder="1" applyAlignment="1" applyProtection="1"/>
    <xf numFmtId="0" fontId="5" fillId="21" borderId="3" xfId="0" applyFont="1" applyFill="1" applyBorder="1" applyAlignment="1" applyProtection="1">
      <alignment horizontal="center"/>
    </xf>
    <xf numFmtId="0" fontId="5" fillId="21" borderId="89" xfId="0" applyFont="1" applyFill="1" applyBorder="1" applyAlignment="1" applyProtection="1">
      <alignment horizontal="center"/>
    </xf>
    <xf numFmtId="0" fontId="4" fillId="20" borderId="0" xfId="0" applyFont="1" applyFill="1" applyAlignment="1" applyProtection="1">
      <alignment horizontal="centerContinuous"/>
    </xf>
    <xf numFmtId="0" fontId="46" fillId="20" borderId="0" xfId="0" applyFont="1" applyFill="1" applyAlignment="1" applyProtection="1">
      <alignment horizontal="centerContinuous"/>
    </xf>
    <xf numFmtId="0" fontId="5" fillId="21" borderId="0" xfId="0" applyFont="1" applyFill="1" applyAlignment="1" applyProtection="1">
      <protection locked="0"/>
    </xf>
    <xf numFmtId="0" fontId="9" fillId="21" borderId="0" xfId="0" applyFont="1" applyFill="1" applyAlignment="1" applyProtection="1">
      <alignment horizontal="center"/>
      <protection locked="0"/>
    </xf>
    <xf numFmtId="0" fontId="5" fillId="0" borderId="111" xfId="0" applyFont="1" applyBorder="1" applyProtection="1"/>
    <xf numFmtId="0" fontId="5" fillId="0" borderId="112" xfId="0" applyFont="1" applyBorder="1" applyProtection="1"/>
    <xf numFmtId="0" fontId="12" fillId="0" borderId="112" xfId="0" applyFont="1" applyBorder="1" applyAlignment="1" applyProtection="1">
      <alignment horizontal="right"/>
    </xf>
    <xf numFmtId="1" fontId="26" fillId="0" borderId="0" xfId="0" applyNumberFormat="1" applyFont="1" applyProtection="1"/>
    <xf numFmtId="1" fontId="15" fillId="0" borderId="113" xfId="0" applyNumberFormat="1" applyFont="1" applyBorder="1" applyAlignment="1" applyProtection="1">
      <alignment horizontal="left"/>
    </xf>
    <xf numFmtId="0" fontId="20" fillId="20" borderId="48" xfId="0" applyFont="1" applyFill="1" applyBorder="1" applyAlignment="1" applyProtection="1">
      <alignment horizontal="center" wrapText="1"/>
    </xf>
    <xf numFmtId="0" fontId="27" fillId="0" borderId="89" xfId="0" applyFont="1" applyBorder="1" applyAlignment="1" applyProtection="1"/>
    <xf numFmtId="0" fontId="26" fillId="0" borderId="0" xfId="0" applyFont="1" applyAlignment="1" applyProtection="1">
      <alignment horizontal="left"/>
    </xf>
    <xf numFmtId="9" fontId="5" fillId="0" borderId="0" xfId="0" applyNumberFormat="1" applyFont="1" applyAlignment="1" applyProtection="1">
      <alignment horizontal="left"/>
    </xf>
    <xf numFmtId="171" fontId="5" fillId="21" borderId="0" xfId="57" applyNumberFormat="1" applyFont="1" applyFill="1" applyBorder="1" applyAlignment="1" applyProtection="1"/>
    <xf numFmtId="167" fontId="15" fillId="19" borderId="82" xfId="0" applyNumberFormat="1" applyFont="1" applyFill="1" applyBorder="1" applyAlignment="1" applyProtection="1">
      <alignment horizontal="center"/>
      <protection locked="0"/>
    </xf>
    <xf numFmtId="3" fontId="15" fillId="19" borderId="56" xfId="0" applyNumberFormat="1" applyFont="1" applyFill="1" applyBorder="1" applyAlignment="1" applyProtection="1">
      <alignment horizontal="center"/>
      <protection locked="0"/>
    </xf>
    <xf numFmtId="167" fontId="5" fillId="19" borderId="82" xfId="0" applyNumberFormat="1" applyFont="1" applyFill="1" applyBorder="1" applyAlignment="1" applyProtection="1">
      <alignment horizontal="center"/>
      <protection locked="0"/>
    </xf>
    <xf numFmtId="167" fontId="5" fillId="19" borderId="83" xfId="0" applyNumberFormat="1" applyFont="1" applyFill="1" applyBorder="1" applyAlignment="1" applyProtection="1">
      <alignment horizontal="center"/>
      <protection locked="0"/>
    </xf>
    <xf numFmtId="167" fontId="10" fillId="0" borderId="85" xfId="0" applyNumberFormat="1" applyFont="1" applyBorder="1" applyAlignment="1" applyProtection="1">
      <alignment horizontal="center"/>
    </xf>
    <xf numFmtId="0" fontId="10" fillId="0" borderId="0" xfId="0" applyFont="1"/>
    <xf numFmtId="169" fontId="10" fillId="0" borderId="35" xfId="91" applyNumberFormat="1" applyFont="1" applyBorder="1" applyAlignment="1">
      <alignment horizontal="center"/>
    </xf>
    <xf numFmtId="169" fontId="5" fillId="0" borderId="0" xfId="91" applyNumberFormat="1" applyFont="1" applyFill="1" applyBorder="1" applyAlignment="1">
      <alignment horizontal="center"/>
    </xf>
    <xf numFmtId="169" fontId="10" fillId="0" borderId="11" xfId="91" applyNumberFormat="1" applyFont="1" applyBorder="1" applyAlignment="1">
      <alignment horizontal="center"/>
    </xf>
    <xf numFmtId="0" fontId="8" fillId="0" borderId="11" xfId="0" applyFont="1" applyBorder="1" applyAlignment="1" applyProtection="1">
      <alignment horizontal="left"/>
    </xf>
    <xf numFmtId="0" fontId="8" fillId="0" borderId="97" xfId="0" applyFont="1" applyBorder="1" applyAlignment="1" applyProtection="1">
      <alignment horizontal="left"/>
    </xf>
    <xf numFmtId="0" fontId="8" fillId="0" borderId="35" xfId="0" applyFont="1" applyBorder="1" applyAlignment="1" applyProtection="1">
      <alignment horizontal="left"/>
    </xf>
    <xf numFmtId="165" fontId="8" fillId="0" borderId="11" xfId="0" applyNumberFormat="1" applyFont="1" applyFill="1" applyBorder="1" applyAlignment="1" applyProtection="1">
      <alignment horizontal="left"/>
    </xf>
    <xf numFmtId="165" fontId="21" fillId="0" borderId="11" xfId="0" applyNumberFormat="1" applyFont="1" applyFill="1" applyBorder="1" applyAlignment="1" applyProtection="1">
      <alignment horizontal="left"/>
    </xf>
    <xf numFmtId="0" fontId="5" fillId="0" borderId="35" xfId="0" applyFont="1" applyBorder="1" applyAlignment="1" applyProtection="1">
      <alignment horizontal="left"/>
    </xf>
    <xf numFmtId="0" fontId="5" fillId="0" borderId="11" xfId="0" applyFont="1" applyBorder="1" applyAlignment="1" applyProtection="1">
      <alignment horizontal="left"/>
    </xf>
    <xf numFmtId="3" fontId="20" fillId="19" borderId="35" xfId="0" applyNumberFormat="1" applyFont="1" applyFill="1" applyBorder="1" applyAlignment="1" applyProtection="1">
      <alignment horizontal="left"/>
      <protection locked="0"/>
    </xf>
    <xf numFmtId="3" fontId="20" fillId="19" borderId="11" xfId="0" applyNumberFormat="1" applyFont="1" applyFill="1" applyBorder="1" applyAlignment="1" applyProtection="1">
      <alignment horizontal="left"/>
      <protection locked="0"/>
    </xf>
    <xf numFmtId="0" fontId="20" fillId="19" borderId="11" xfId="0" applyNumberFormat="1" applyFont="1" applyFill="1" applyBorder="1" applyAlignment="1" applyProtection="1">
      <alignment horizontal="left"/>
      <protection locked="0"/>
    </xf>
    <xf numFmtId="0" fontId="20" fillId="19" borderId="97" xfId="0" applyNumberFormat="1" applyFont="1" applyFill="1" applyBorder="1" applyAlignment="1" applyProtection="1">
      <alignment horizontal="left"/>
      <protection locked="0"/>
    </xf>
    <xf numFmtId="3" fontId="21" fillId="21" borderId="11" xfId="0" applyNumberFormat="1" applyFont="1" applyFill="1" applyBorder="1" applyAlignment="1" applyProtection="1">
      <alignment horizontal="left"/>
    </xf>
    <xf numFmtId="0" fontId="8" fillId="20" borderId="47" xfId="0" applyFont="1" applyFill="1" applyBorder="1" applyAlignment="1" applyProtection="1">
      <alignment horizontal="left"/>
    </xf>
    <xf numFmtId="14" fontId="20" fillId="19" borderId="35" xfId="0" applyNumberFormat="1" applyFont="1" applyFill="1" applyBorder="1" applyAlignment="1" applyProtection="1">
      <alignment horizontal="left"/>
      <protection locked="0"/>
    </xf>
    <xf numFmtId="167" fontId="20" fillId="19" borderId="11" xfId="0" applyNumberFormat="1" applyFont="1" applyFill="1" applyBorder="1" applyAlignment="1" applyProtection="1">
      <alignment horizontal="left"/>
      <protection locked="0"/>
    </xf>
    <xf numFmtId="3" fontId="20" fillId="19" borderId="35" xfId="0" applyNumberFormat="1" applyFont="1" applyFill="1" applyBorder="1" applyAlignment="1" applyProtection="1">
      <alignment horizontal="right"/>
      <protection locked="0"/>
    </xf>
    <xf numFmtId="3" fontId="20" fillId="19" borderId="11" xfId="0" applyNumberFormat="1" applyFont="1" applyFill="1" applyBorder="1" applyAlignment="1" applyProtection="1">
      <alignment horizontal="right"/>
      <protection locked="0"/>
    </xf>
    <xf numFmtId="165" fontId="29" fillId="0" borderId="11" xfId="0" applyNumberFormat="1" applyFont="1" applyFill="1" applyBorder="1" applyAlignment="1" applyProtection="1">
      <alignment horizontal="right"/>
    </xf>
    <xf numFmtId="3" fontId="29" fillId="0" borderId="11" xfId="0" applyNumberFormat="1" applyFont="1" applyFill="1" applyBorder="1" applyAlignment="1" applyProtection="1">
      <alignment horizontal="right"/>
    </xf>
    <xf numFmtId="169" fontId="20" fillId="19" borderId="91" xfId="0" applyNumberFormat="1" applyFont="1" applyFill="1" applyBorder="1" applyProtection="1">
      <protection locked="0"/>
    </xf>
    <xf numFmtId="169" fontId="20" fillId="19" borderId="11" xfId="0" applyNumberFormat="1" applyFont="1" applyFill="1" applyBorder="1" applyProtection="1">
      <protection locked="0"/>
    </xf>
    <xf numFmtId="0" fontId="20" fillId="0" borderId="35" xfId="0" applyFont="1" applyFill="1" applyBorder="1" applyProtection="1"/>
    <xf numFmtId="0" fontId="36" fillId="20" borderId="114" xfId="0" applyFont="1" applyFill="1" applyBorder="1" applyAlignment="1" applyProtection="1">
      <alignment horizontal="left"/>
    </xf>
    <xf numFmtId="0" fontId="36" fillId="20" borderId="62" xfId="0" applyFont="1" applyFill="1" applyBorder="1" applyAlignment="1" applyProtection="1">
      <alignment horizontal="left"/>
    </xf>
    <xf numFmtId="0" fontId="36" fillId="20" borderId="63" xfId="0" applyFont="1" applyFill="1" applyBorder="1" applyAlignment="1" applyProtection="1">
      <alignment horizontal="left"/>
    </xf>
    <xf numFmtId="0" fontId="47" fillId="0" borderId="0" xfId="0" applyFont="1" applyBorder="1" applyAlignment="1" applyProtection="1">
      <alignment horizontal="left"/>
    </xf>
    <xf numFmtId="0" fontId="37" fillId="20" borderId="12" xfId="0" applyFont="1" applyFill="1" applyBorder="1" applyAlignment="1" applyProtection="1">
      <alignment horizontal="left"/>
    </xf>
    <xf numFmtId="0" fontId="37" fillId="20" borderId="13" xfId="0" applyFont="1" applyFill="1" applyBorder="1" applyAlignment="1" applyProtection="1">
      <alignment horizontal="left"/>
    </xf>
    <xf numFmtId="0" fontId="37" fillId="20" borderId="67" xfId="0" applyFont="1" applyFill="1" applyBorder="1" applyAlignment="1" applyProtection="1">
      <alignment horizontal="left"/>
    </xf>
    <xf numFmtId="0" fontId="10" fillId="0" borderId="44" xfId="0" applyFont="1" applyBorder="1" applyAlignment="1" applyProtection="1">
      <alignment horizontal="left"/>
    </xf>
    <xf numFmtId="0" fontId="10" fillId="0" borderId="48" xfId="0" applyFont="1" applyBorder="1" applyAlignment="1" applyProtection="1">
      <alignment horizontal="left"/>
    </xf>
    <xf numFmtId="0" fontId="10" fillId="0" borderId="49" xfId="0" applyFont="1" applyBorder="1" applyAlignment="1" applyProtection="1">
      <alignment horizontal="left"/>
    </xf>
    <xf numFmtId="0" fontId="10" fillId="0" borderId="50" xfId="0" applyFont="1" applyBorder="1" applyAlignment="1" applyProtection="1">
      <alignment horizontal="left"/>
    </xf>
    <xf numFmtId="0" fontId="10" fillId="0" borderId="58" xfId="0" applyFont="1" applyBorder="1" applyAlignment="1" applyProtection="1">
      <alignment horizontal="left"/>
    </xf>
    <xf numFmtId="0" fontId="37" fillId="20" borderId="115" xfId="0" applyFont="1" applyFill="1" applyBorder="1" applyAlignment="1" applyProtection="1">
      <alignment horizontal="left"/>
    </xf>
    <xf numFmtId="0" fontId="37" fillId="20" borderId="42" xfId="0" applyFont="1" applyFill="1" applyBorder="1" applyAlignment="1" applyProtection="1">
      <alignment horizontal="left"/>
    </xf>
    <xf numFmtId="0" fontId="5" fillId="19" borderId="3" xfId="0" applyFont="1" applyFill="1" applyBorder="1" applyAlignment="1" applyProtection="1">
      <alignment horizontal="left"/>
      <protection locked="0"/>
    </xf>
    <xf numFmtId="0" fontId="5" fillId="19" borderId="0" xfId="0" applyFont="1" applyFill="1" applyBorder="1" applyAlignment="1" applyProtection="1">
      <alignment horizontal="left"/>
      <protection locked="0"/>
    </xf>
    <xf numFmtId="0" fontId="37" fillId="20" borderId="23" xfId="0" applyFont="1" applyFill="1" applyBorder="1" applyAlignment="1" applyProtection="1">
      <alignment horizontal="left"/>
    </xf>
    <xf numFmtId="0" fontId="36" fillId="20" borderId="74" xfId="0" applyFont="1" applyFill="1" applyBorder="1" applyAlignment="1" applyProtection="1">
      <alignment horizontal="centerContinuous"/>
    </xf>
    <xf numFmtId="167" fontId="10" fillId="19" borderId="85" xfId="0" applyNumberFormat="1" applyFont="1" applyFill="1" applyBorder="1" applyAlignment="1" applyProtection="1">
      <alignment horizontal="center"/>
      <protection locked="0"/>
    </xf>
    <xf numFmtId="0" fontId="5" fillId="0" borderId="0" xfId="0" quotePrefix="1" applyFont="1" applyAlignment="1" applyProtection="1"/>
    <xf numFmtId="4" fontId="20" fillId="19" borderId="59" xfId="0" applyNumberFormat="1" applyFont="1" applyFill="1" applyBorder="1" applyProtection="1">
      <protection locked="0"/>
    </xf>
    <xf numFmtId="4" fontId="20" fillId="19" borderId="60" xfId="0" applyNumberFormat="1" applyFont="1" applyFill="1" applyBorder="1" applyProtection="1">
      <protection locked="0"/>
    </xf>
    <xf numFmtId="4" fontId="20" fillId="19" borderId="61" xfId="0" applyNumberFormat="1" applyFont="1" applyFill="1" applyBorder="1" applyProtection="1">
      <protection locked="0"/>
    </xf>
    <xf numFmtId="4" fontId="20" fillId="0" borderId="32" xfId="0" applyNumberFormat="1" applyFont="1" applyFill="1" applyBorder="1" applyProtection="1"/>
    <xf numFmtId="0" fontId="55" fillId="0" borderId="0" xfId="0" applyFont="1" applyBorder="1" applyAlignment="1" applyProtection="1">
      <alignment horizontal="center"/>
    </xf>
    <xf numFmtId="4" fontId="55" fillId="0" borderId="0" xfId="0" applyNumberFormat="1" applyFont="1" applyBorder="1" applyAlignment="1" applyProtection="1">
      <alignment horizontal="center"/>
    </xf>
    <xf numFmtId="3" fontId="29" fillId="0" borderId="11" xfId="0" applyNumberFormat="1" applyFont="1" applyBorder="1" applyAlignment="1" applyProtection="1"/>
    <xf numFmtId="0" fontId="11" fillId="0" borderId="0" xfId="0" applyFont="1" applyProtection="1"/>
    <xf numFmtId="0" fontId="40" fillId="0" borderId="0" xfId="0" applyFont="1" applyBorder="1" applyAlignment="1" applyProtection="1">
      <alignment vertical="center"/>
    </xf>
    <xf numFmtId="0" fontId="36" fillId="0" borderId="0" xfId="0" applyFont="1" applyBorder="1" applyAlignment="1" applyProtection="1">
      <alignment vertical="center"/>
    </xf>
    <xf numFmtId="0" fontId="12" fillId="0" borderId="0" xfId="0" applyFont="1" applyBorder="1" applyAlignment="1" applyProtection="1">
      <alignment vertical="center"/>
    </xf>
    <xf numFmtId="14" fontId="20" fillId="19" borderId="11" xfId="0" applyNumberFormat="1" applyFont="1" applyFill="1" applyBorder="1" applyAlignment="1" applyProtection="1">
      <alignment horizontal="left"/>
      <protection locked="0"/>
    </xf>
    <xf numFmtId="0" fontId="5" fillId="20" borderId="47" xfId="0" applyFont="1" applyFill="1" applyBorder="1" applyAlignment="1" applyProtection="1">
      <alignment horizontal="left"/>
    </xf>
    <xf numFmtId="0" fontId="20" fillId="20" borderId="47" xfId="0" applyFont="1" applyFill="1" applyBorder="1" applyAlignment="1" applyProtection="1">
      <alignment horizontal="left"/>
    </xf>
    <xf numFmtId="0" fontId="5" fillId="0" borderId="56" xfId="0" applyFont="1" applyBorder="1" applyAlignment="1" applyProtection="1">
      <alignment horizontal="left"/>
    </xf>
    <xf numFmtId="0" fontId="5" fillId="0" borderId="57" xfId="0" applyFont="1" applyBorder="1" applyAlignment="1" applyProtection="1">
      <alignment horizontal="left"/>
    </xf>
    <xf numFmtId="0" fontId="5" fillId="0" borderId="55" xfId="0" applyFont="1" applyBorder="1" applyAlignment="1" applyProtection="1">
      <alignment horizontal="left"/>
    </xf>
    <xf numFmtId="1" fontId="5" fillId="19" borderId="11" xfId="57" applyNumberFormat="1" applyFont="1" applyFill="1" applyBorder="1" applyAlignment="1" applyProtection="1">
      <protection locked="0"/>
    </xf>
    <xf numFmtId="0" fontId="10" fillId="0" borderId="57" xfId="0" applyFont="1" applyBorder="1" applyAlignment="1" applyProtection="1">
      <alignment horizontal="left"/>
    </xf>
    <xf numFmtId="0" fontId="10" fillId="0" borderId="56" xfId="0" applyFont="1" applyBorder="1" applyAlignment="1" applyProtection="1">
      <alignment horizontal="left"/>
    </xf>
    <xf numFmtId="14" fontId="20" fillId="0" borderId="107" xfId="0" applyNumberFormat="1" applyFont="1" applyFill="1" applyBorder="1" applyAlignment="1" applyProtection="1">
      <alignment horizontal="left"/>
    </xf>
    <xf numFmtId="0" fontId="20" fillId="0" borderId="53" xfId="0" applyFont="1" applyFill="1" applyBorder="1" applyAlignment="1" applyProtection="1">
      <alignment horizontal="left"/>
    </xf>
    <xf numFmtId="0" fontId="20" fillId="19" borderId="57" xfId="0" applyFont="1" applyFill="1" applyBorder="1" applyAlignment="1" applyProtection="1">
      <alignment horizontal="left"/>
      <protection locked="0"/>
    </xf>
    <xf numFmtId="0" fontId="20" fillId="19" borderId="56" xfId="0" applyFont="1" applyFill="1" applyBorder="1" applyAlignment="1" applyProtection="1">
      <alignment horizontal="left"/>
      <protection locked="0"/>
    </xf>
    <xf numFmtId="166" fontId="20" fillId="19" borderId="57" xfId="0" applyNumberFormat="1" applyFont="1" applyFill="1" applyBorder="1" applyAlignment="1" applyProtection="1">
      <alignment horizontal="left" shrinkToFit="1"/>
      <protection locked="0"/>
    </xf>
    <xf numFmtId="0" fontId="12" fillId="0" borderId="116" xfId="0" applyFont="1" applyFill="1" applyBorder="1" applyAlignment="1" applyProtection="1">
      <alignment horizontal="left"/>
    </xf>
    <xf numFmtId="0" fontId="12" fillId="0" borderId="57" xfId="0" applyFont="1" applyFill="1" applyBorder="1" applyAlignment="1" applyProtection="1">
      <alignment horizontal="left"/>
    </xf>
    <xf numFmtId="0" fontId="12" fillId="0" borderId="100" xfId="0" applyFont="1" applyFill="1" applyBorder="1" applyAlignment="1" applyProtection="1">
      <alignment horizontal="left"/>
    </xf>
    <xf numFmtId="0" fontId="20" fillId="0" borderId="117" xfId="0" applyFont="1" applyFill="1" applyBorder="1" applyProtection="1"/>
    <xf numFmtId="0" fontId="20" fillId="0" borderId="52" xfId="0" applyFont="1" applyFill="1" applyBorder="1" applyProtection="1"/>
    <xf numFmtId="4" fontId="15" fillId="0" borderId="0" xfId="0" applyNumberFormat="1" applyFont="1" applyBorder="1" applyAlignment="1" applyProtection="1">
      <alignment horizontal="center" wrapText="1"/>
    </xf>
    <xf numFmtId="9" fontId="26" fillId="0" borderId="0" xfId="0" applyNumberFormat="1" applyFont="1" applyProtection="1"/>
    <xf numFmtId="0" fontId="10" fillId="0" borderId="55" xfId="91" applyFont="1" applyBorder="1"/>
    <xf numFmtId="20" fontId="5" fillId="0" borderId="0" xfId="0" quotePrefix="1" applyNumberFormat="1" applyFont="1" applyFill="1" applyAlignment="1" applyProtection="1">
      <alignment horizontal="right"/>
    </xf>
    <xf numFmtId="9" fontId="56" fillId="0" borderId="0" xfId="91" applyNumberFormat="1" applyFont="1" applyBorder="1"/>
    <xf numFmtId="0" fontId="36" fillId="20" borderId="101" xfId="0" applyFont="1" applyFill="1" applyBorder="1" applyAlignment="1" applyProtection="1">
      <alignment horizontal="left"/>
    </xf>
    <xf numFmtId="0" fontId="36" fillId="20" borderId="118" xfId="0" applyFont="1" applyFill="1" applyBorder="1" applyAlignment="1" applyProtection="1">
      <alignment horizontal="left"/>
    </xf>
    <xf numFmtId="9" fontId="57" fillId="0" borderId="0" xfId="0" applyNumberFormat="1" applyFont="1" applyProtection="1"/>
    <xf numFmtId="0" fontId="5" fillId="0" borderId="100" xfId="0" applyFont="1" applyFill="1" applyBorder="1" applyAlignment="1" applyProtection="1">
      <alignment horizontal="center"/>
      <protection locked="0"/>
    </xf>
    <xf numFmtId="0" fontId="20" fillId="20" borderId="38" xfId="0" applyFont="1" applyFill="1" applyBorder="1" applyAlignment="1" applyProtection="1">
      <alignment horizontal="center" wrapText="1"/>
    </xf>
    <xf numFmtId="9" fontId="15" fillId="19" borderId="11" xfId="0" applyNumberFormat="1" applyFont="1" applyFill="1" applyBorder="1" applyAlignment="1" applyProtection="1">
      <alignment horizontal="center" wrapText="1"/>
      <protection locked="0"/>
    </xf>
    <xf numFmtId="0" fontId="20" fillId="20" borderId="99" xfId="0" applyFont="1" applyFill="1" applyBorder="1" applyAlignment="1" applyProtection="1">
      <alignment horizontal="center" wrapText="1"/>
    </xf>
    <xf numFmtId="0" fontId="20" fillId="20" borderId="54" xfId="0" applyFont="1" applyFill="1" applyBorder="1" applyAlignment="1" applyProtection="1">
      <alignment horizontal="center" wrapText="1"/>
    </xf>
    <xf numFmtId="0" fontId="20" fillId="20" borderId="119" xfId="0" applyFont="1" applyFill="1" applyBorder="1" applyAlignment="1" applyProtection="1">
      <alignment horizontal="center" wrapText="1"/>
    </xf>
    <xf numFmtId="0" fontId="27" fillId="0" borderId="0" xfId="0" applyFont="1" applyProtection="1"/>
    <xf numFmtId="0" fontId="58" fillId="0" borderId="0" xfId="0" applyFont="1" applyAlignment="1" applyProtection="1">
      <alignment horizontal="center"/>
    </xf>
    <xf numFmtId="0" fontId="20" fillId="20" borderId="22" xfId="0" applyFont="1" applyFill="1" applyBorder="1" applyAlignment="1" applyProtection="1">
      <alignment horizontal="center" wrapText="1"/>
    </xf>
    <xf numFmtId="0" fontId="12" fillId="0" borderId="0" xfId="0" applyFont="1" applyAlignment="1" applyProtection="1">
      <alignment horizontal="center"/>
    </xf>
    <xf numFmtId="167" fontId="59" fillId="0" borderId="51" xfId="0" applyNumberFormat="1" applyFont="1" applyBorder="1" applyAlignment="1" applyProtection="1">
      <alignment horizontal="left"/>
    </xf>
    <xf numFmtId="4" fontId="55" fillId="21" borderId="0" xfId="0" applyNumberFormat="1" applyFont="1" applyFill="1" applyBorder="1" applyAlignment="1" applyProtection="1">
      <alignment horizontal="center"/>
    </xf>
    <xf numFmtId="4" fontId="20" fillId="21" borderId="59" xfId="0" applyNumberFormat="1" applyFont="1" applyFill="1" applyBorder="1" applyProtection="1"/>
    <xf numFmtId="4" fontId="20" fillId="21" borderId="59" xfId="0" applyNumberFormat="1" applyFont="1" applyFill="1" applyBorder="1" applyAlignment="1" applyProtection="1">
      <alignment horizontal="center"/>
      <protection locked="0"/>
    </xf>
    <xf numFmtId="4" fontId="20" fillId="21" borderId="120" xfId="0" applyNumberFormat="1" applyFont="1" applyFill="1" applyBorder="1" applyAlignment="1" applyProtection="1">
      <alignment horizontal="center"/>
      <protection locked="0"/>
    </xf>
    <xf numFmtId="3" fontId="26" fillId="0" borderId="0" xfId="0" applyNumberFormat="1" applyFont="1" applyProtection="1"/>
    <xf numFmtId="0" fontId="60" fillId="0" borderId="0" xfId="0" applyFont="1" applyProtection="1"/>
    <xf numFmtId="10" fontId="10" fillId="19" borderId="11" xfId="0" applyNumberFormat="1" applyFont="1" applyFill="1" applyBorder="1" applyAlignment="1" applyProtection="1">
      <alignment horizontal="center"/>
      <protection locked="0"/>
    </xf>
    <xf numFmtId="10" fontId="37" fillId="19" borderId="11" xfId="0" applyNumberFormat="1" applyFont="1" applyFill="1" applyBorder="1" applyAlignment="1" applyProtection="1">
      <alignment horizontal="center"/>
      <protection locked="0"/>
    </xf>
    <xf numFmtId="0" fontId="12" fillId="19" borderId="121" xfId="0" applyFont="1" applyFill="1" applyBorder="1" applyAlignment="1" applyProtection="1">
      <alignment horizontal="center"/>
      <protection locked="0"/>
    </xf>
    <xf numFmtId="0" fontId="5" fillId="19" borderId="11" xfId="0" applyFont="1" applyFill="1" applyBorder="1" applyAlignment="1" applyProtection="1">
      <protection locked="0"/>
    </xf>
    <xf numFmtId="164" fontId="37" fillId="0" borderId="0" xfId="0" applyNumberFormat="1" applyFont="1" applyBorder="1" applyAlignment="1" applyProtection="1">
      <alignment horizontal="left"/>
    </xf>
    <xf numFmtId="0" fontId="61" fillId="0" borderId="0" xfId="0" applyFont="1" applyProtection="1"/>
    <xf numFmtId="0" fontId="15" fillId="0" borderId="0" xfId="0" applyFont="1" applyBorder="1"/>
    <xf numFmtId="0" fontId="5" fillId="19" borderId="56" xfId="0" applyFont="1" applyFill="1" applyBorder="1" applyProtection="1">
      <protection locked="0"/>
    </xf>
    <xf numFmtId="0" fontId="15" fillId="19" borderId="11" xfId="0" applyFont="1" applyFill="1" applyBorder="1" applyAlignment="1" applyProtection="1">
      <protection locked="0"/>
    </xf>
    <xf numFmtId="167" fontId="15" fillId="19" borderId="56" xfId="0" applyNumberFormat="1" applyFont="1" applyFill="1" applyBorder="1" applyAlignment="1" applyProtection="1">
      <protection locked="0"/>
    </xf>
    <xf numFmtId="0" fontId="5" fillId="19" borderId="55" xfId="0" applyFont="1" applyFill="1" applyBorder="1" applyAlignment="1" applyProtection="1">
      <alignment horizontal="center"/>
      <protection locked="0"/>
    </xf>
    <xf numFmtId="167" fontId="5" fillId="19" borderId="56" xfId="0" applyNumberFormat="1" applyFont="1" applyFill="1" applyBorder="1" applyAlignment="1" applyProtection="1">
      <protection locked="0"/>
    </xf>
    <xf numFmtId="0" fontId="5" fillId="0" borderId="0" xfId="0" applyFont="1" applyBorder="1" applyAlignment="1">
      <alignment horizontal="left"/>
    </xf>
    <xf numFmtId="0" fontId="5" fillId="0" borderId="0" xfId="0" applyFont="1" applyFill="1" applyBorder="1" applyAlignment="1">
      <alignment horizontal="center"/>
    </xf>
    <xf numFmtId="167" fontId="5" fillId="0" borderId="0" xfId="0" applyNumberFormat="1" applyFont="1" applyFill="1" applyBorder="1" applyAlignment="1">
      <alignment horizontal="center"/>
    </xf>
    <xf numFmtId="167" fontId="5" fillId="19" borderId="11" xfId="0" applyNumberFormat="1" applyFont="1" applyFill="1" applyBorder="1" applyAlignment="1" applyProtection="1">
      <protection locked="0"/>
    </xf>
    <xf numFmtId="0" fontId="12" fillId="0" borderId="0" xfId="0" applyFont="1" applyBorder="1" applyAlignment="1">
      <alignment horizontal="center"/>
    </xf>
    <xf numFmtId="0" fontId="12" fillId="0" borderId="0" xfId="0" applyFont="1" applyBorder="1" applyAlignment="1">
      <alignment horizontal="center" wrapText="1"/>
    </xf>
    <xf numFmtId="0" fontId="7" fillId="0" borderId="3" xfId="0" applyFont="1" applyBorder="1" applyProtection="1"/>
    <xf numFmtId="0" fontId="10" fillId="0" borderId="0" xfId="0" applyFont="1" applyBorder="1"/>
    <xf numFmtId="6" fontId="20" fillId="19" borderId="30" xfId="91" applyNumberFormat="1" applyFont="1" applyFill="1" applyBorder="1" applyAlignment="1" applyProtection="1">
      <alignment horizontal="right"/>
      <protection locked="0"/>
    </xf>
    <xf numFmtId="164" fontId="5" fillId="0" borderId="0" xfId="0" applyNumberFormat="1" applyFont="1" applyAlignment="1" applyProtection="1">
      <alignment horizontal="left"/>
    </xf>
    <xf numFmtId="14" fontId="26" fillId="0" borderId="0" xfId="0" applyNumberFormat="1" applyFont="1" applyProtection="1"/>
    <xf numFmtId="0" fontId="26" fillId="0" borderId="0" xfId="0" quotePrefix="1" applyFont="1" applyAlignment="1" applyProtection="1">
      <alignment horizontal="left" vertical="top"/>
    </xf>
    <xf numFmtId="0" fontId="15" fillId="0" borderId="0" xfId="0" applyFont="1" applyBorder="1" applyAlignment="1" applyProtection="1">
      <alignment horizontal="right"/>
    </xf>
    <xf numFmtId="0" fontId="23" fillId="0" borderId="0" xfId="75" applyAlignment="1" applyProtection="1"/>
    <xf numFmtId="0" fontId="63" fillId="0" borderId="0" xfId="0" applyFont="1" applyProtection="1"/>
    <xf numFmtId="0" fontId="64" fillId="0" borderId="0" xfId="75" applyFont="1" applyAlignment="1" applyProtection="1"/>
    <xf numFmtId="0" fontId="26" fillId="0" borderId="0" xfId="0" applyFont="1"/>
    <xf numFmtId="0" fontId="5" fillId="0" borderId="55" xfId="0" applyFont="1" applyBorder="1" applyAlignment="1"/>
    <xf numFmtId="167" fontId="65" fillId="0" borderId="0" xfId="0" applyNumberFormat="1" applyFont="1" applyFill="1" applyBorder="1" applyAlignment="1" applyProtection="1">
      <protection locked="0"/>
    </xf>
    <xf numFmtId="0" fontId="83" fillId="0" borderId="0" xfId="0" applyFont="1" applyProtection="1"/>
    <xf numFmtId="0" fontId="26" fillId="0" borderId="0" xfId="0" applyFont="1" applyAlignment="1" applyProtection="1">
      <alignment horizontal="left" vertical="top"/>
    </xf>
    <xf numFmtId="0" fontId="5" fillId="0" borderId="0" xfId="0" applyFont="1" applyAlignment="1">
      <alignment horizontal="left" wrapText="1"/>
    </xf>
    <xf numFmtId="0" fontId="5" fillId="0" borderId="11" xfId="0" applyFont="1" applyBorder="1" applyAlignment="1" applyProtection="1">
      <alignment horizontal="left" wrapText="1"/>
    </xf>
    <xf numFmtId="10" fontId="15" fillId="0" borderId="15" xfId="91" applyNumberFormat="1" applyFont="1" applyBorder="1" applyAlignment="1" applyProtection="1">
      <alignment horizontal="right"/>
    </xf>
    <xf numFmtId="6" fontId="15" fillId="0" borderId="15" xfId="91" applyNumberFormat="1" applyFont="1" applyBorder="1" applyAlignment="1" applyProtection="1">
      <alignment horizontal="right"/>
    </xf>
    <xf numFmtId="0" fontId="5" fillId="0" borderId="0" xfId="0" applyFont="1" applyAlignment="1"/>
    <xf numFmtId="0" fontId="5" fillId="0" borderId="97" xfId="0" applyFont="1" applyBorder="1"/>
    <xf numFmtId="0" fontId="5" fillId="0" borderId="97" xfId="0" applyFont="1" applyBorder="1" applyAlignment="1">
      <alignment horizontal="center"/>
    </xf>
    <xf numFmtId="0" fontId="5" fillId="0" borderId="35" xfId="0" applyFont="1" applyBorder="1"/>
    <xf numFmtId="0" fontId="8" fillId="0" borderId="35" xfId="0" applyFont="1" applyBorder="1" applyAlignment="1">
      <alignment horizontal="center" vertical="center" wrapText="1"/>
    </xf>
    <xf numFmtId="0" fontId="5" fillId="0" borderId="11" xfId="0" applyFont="1" applyBorder="1"/>
    <xf numFmtId="0" fontId="5" fillId="20" borderId="11" xfId="0" applyFont="1" applyFill="1" applyBorder="1" applyProtection="1">
      <protection locked="0"/>
    </xf>
    <xf numFmtId="0" fontId="5" fillId="20" borderId="3" xfId="0" applyFont="1" applyFill="1" applyBorder="1" applyProtection="1">
      <protection locked="0"/>
    </xf>
    <xf numFmtId="0" fontId="5" fillId="0" borderId="3" xfId="0" applyFont="1" applyBorder="1"/>
    <xf numFmtId="0" fontId="12" fillId="0" borderId="0" xfId="0" applyFont="1"/>
    <xf numFmtId="0" fontId="5" fillId="0" borderId="40" xfId="0" applyFont="1" applyBorder="1" applyAlignment="1">
      <alignment vertical="top"/>
    </xf>
    <xf numFmtId="0" fontId="5" fillId="0" borderId="0" xfId="0" applyFont="1" applyBorder="1" applyAlignment="1">
      <alignment vertical="top"/>
    </xf>
    <xf numFmtId="0" fontId="5" fillId="0" borderId="0" xfId="0" applyFont="1" applyAlignment="1">
      <alignment horizontal="left"/>
    </xf>
    <xf numFmtId="0" fontId="5" fillId="0" borderId="40" xfId="0" applyFont="1" applyBorder="1" applyAlignment="1">
      <alignment horizontal="right"/>
    </xf>
    <xf numFmtId="0" fontId="5" fillId="0" borderId="27" xfId="0" applyFont="1" applyBorder="1"/>
    <xf numFmtId="0" fontId="5" fillId="20" borderId="53" xfId="0" applyFont="1" applyFill="1" applyBorder="1"/>
    <xf numFmtId="0" fontId="5" fillId="0" borderId="40" xfId="0" applyFont="1" applyBorder="1" applyAlignment="1">
      <alignment horizontal="right" wrapText="1"/>
    </xf>
    <xf numFmtId="0" fontId="5" fillId="0" borderId="107" xfId="0" applyFont="1" applyBorder="1" applyAlignment="1">
      <alignment horizontal="right"/>
    </xf>
    <xf numFmtId="0" fontId="15" fillId="0" borderId="0" xfId="0" applyFont="1"/>
    <xf numFmtId="0" fontId="5" fillId="25" borderId="0" xfId="0" applyFont="1" applyFill="1" applyProtection="1">
      <protection locked="0"/>
    </xf>
    <xf numFmtId="0" fontId="10" fillId="0" borderId="0" xfId="0" applyFont="1" applyAlignment="1">
      <alignment horizontal="center"/>
    </xf>
    <xf numFmtId="0" fontId="5" fillId="0" borderId="0" xfId="0" applyFont="1" applyAlignment="1">
      <alignment wrapText="1"/>
    </xf>
    <xf numFmtId="0" fontId="5" fillId="25" borderId="11" xfId="0" applyFont="1" applyFill="1" applyBorder="1" applyProtection="1">
      <protection locked="0"/>
    </xf>
    <xf numFmtId="1" fontId="5" fillId="0" borderId="0" xfId="0" applyNumberFormat="1" applyFont="1" applyAlignment="1" applyProtection="1">
      <alignment horizontal="left"/>
    </xf>
    <xf numFmtId="0" fontId="47" fillId="0" borderId="0" xfId="0" applyFont="1"/>
    <xf numFmtId="0" fontId="5" fillId="0" borderId="0" xfId="0" quotePrefix="1" applyFont="1"/>
    <xf numFmtId="0" fontId="5" fillId="0" borderId="0" xfId="0" quotePrefix="1" applyFont="1" applyAlignment="1">
      <alignment horizontal="left" wrapText="1"/>
    </xf>
    <xf numFmtId="0" fontId="5" fillId="0" borderId="11" xfId="0" applyFont="1" applyBorder="1" applyAlignment="1">
      <alignment horizontal="center"/>
    </xf>
    <xf numFmtId="0" fontId="5" fillId="0" borderId="57" xfId="0" applyFont="1" applyBorder="1" applyAlignment="1">
      <alignment horizontal="center" wrapText="1"/>
    </xf>
    <xf numFmtId="0" fontId="5" fillId="0" borderId="56" xfId="0" applyFont="1" applyBorder="1" applyAlignment="1">
      <alignment wrapText="1"/>
    </xf>
    <xf numFmtId="9" fontId="5" fillId="20" borderId="11" xfId="96" applyFont="1" applyFill="1" applyBorder="1" applyProtection="1">
      <protection locked="0"/>
    </xf>
    <xf numFmtId="44" fontId="5" fillId="20" borderId="11" xfId="57" applyFont="1" applyFill="1" applyBorder="1" applyProtection="1">
      <protection locked="0"/>
    </xf>
    <xf numFmtId="41" fontId="5" fillId="20" borderId="11" xfId="55" applyNumberFormat="1" applyFont="1" applyFill="1" applyBorder="1" applyProtection="1">
      <protection locked="0"/>
    </xf>
    <xf numFmtId="41" fontId="5" fillId="0" borderId="11" xfId="55" applyNumberFormat="1" applyFont="1" applyFill="1" applyBorder="1" applyProtection="1">
      <protection locked="0"/>
    </xf>
    <xf numFmtId="41" fontId="5" fillId="20" borderId="11" xfId="55" applyNumberFormat="1" applyFont="1" applyFill="1" applyBorder="1" applyAlignment="1" applyProtection="1">
      <alignment horizontal="center"/>
      <protection locked="0"/>
    </xf>
    <xf numFmtId="0" fontId="22" fillId="0" borderId="0" xfId="0" applyFont="1" applyProtection="1"/>
    <xf numFmtId="0" fontId="50" fillId="0" borderId="0" xfId="0" applyFont="1" applyBorder="1" applyProtection="1"/>
    <xf numFmtId="0" fontId="22" fillId="0" borderId="0" xfId="0" applyFont="1" applyBorder="1" applyProtection="1"/>
    <xf numFmtId="0" fontId="37" fillId="0" borderId="0" xfId="87" applyFont="1" applyProtection="1"/>
    <xf numFmtId="0" fontId="19" fillId="0" borderId="0" xfId="87" applyFont="1" applyProtection="1"/>
    <xf numFmtId="0" fontId="20" fillId="0" borderId="0" xfId="87" applyFont="1" applyProtection="1"/>
    <xf numFmtId="0" fontId="15" fillId="0" borderId="0" xfId="87" applyFont="1" applyBorder="1" applyAlignment="1" applyProtection="1">
      <alignment horizontal="right"/>
    </xf>
    <xf numFmtId="0" fontId="47" fillId="0" borderId="0" xfId="87" applyFont="1" applyBorder="1" applyProtection="1"/>
    <xf numFmtId="0" fontId="63" fillId="0" borderId="0" xfId="87"/>
    <xf numFmtId="0" fontId="5" fillId="0" borderId="0" xfId="87" applyFont="1" applyProtection="1"/>
    <xf numFmtId="49" fontId="20" fillId="19" borderId="3" xfId="87" applyNumberFormat="1" applyFont="1" applyFill="1" applyBorder="1" applyAlignment="1" applyProtection="1">
      <alignment horizontal="center" vertical="top" wrapText="1"/>
      <protection locked="0"/>
    </xf>
    <xf numFmtId="166" fontId="20" fillId="19" borderId="3" xfId="87" applyNumberFormat="1" applyFont="1" applyFill="1" applyBorder="1" applyAlignment="1" applyProtection="1">
      <alignment shrinkToFit="1"/>
      <protection locked="0"/>
    </xf>
    <xf numFmtId="49" fontId="20" fillId="0" borderId="0" xfId="87" applyNumberFormat="1" applyFont="1" applyProtection="1"/>
    <xf numFmtId="166" fontId="20" fillId="0" borderId="0" xfId="87" applyNumberFormat="1" applyFont="1" applyAlignment="1" applyProtection="1">
      <alignment shrinkToFit="1"/>
    </xf>
    <xf numFmtId="0" fontId="20" fillId="0" borderId="0" xfId="87" applyFont="1" applyBorder="1" applyProtection="1"/>
    <xf numFmtId="166" fontId="20" fillId="19" borderId="0" xfId="87" applyNumberFormat="1" applyFont="1" applyFill="1" applyBorder="1" applyAlignment="1" applyProtection="1">
      <alignment shrinkToFit="1"/>
      <protection locked="0"/>
    </xf>
    <xf numFmtId="49" fontId="20" fillId="0" borderId="89" xfId="87" applyNumberFormat="1" applyFont="1" applyFill="1" applyBorder="1" applyAlignment="1" applyProtection="1">
      <alignment horizontal="center" vertical="top" shrinkToFit="1"/>
      <protection locked="0"/>
    </xf>
    <xf numFmtId="0" fontId="20" fillId="0" borderId="0" xfId="87" applyFont="1" applyFill="1" applyBorder="1" applyProtection="1"/>
    <xf numFmtId="166" fontId="20" fillId="0" borderId="89" xfId="87" applyNumberFormat="1" applyFont="1" applyFill="1" applyBorder="1" applyAlignment="1" applyProtection="1">
      <alignment shrinkToFit="1"/>
      <protection locked="0"/>
    </xf>
    <xf numFmtId="49" fontId="20" fillId="19" borderId="3" xfId="87" applyNumberFormat="1" applyFont="1" applyFill="1" applyBorder="1" applyAlignment="1" applyProtection="1">
      <alignment horizontal="center" vertical="top" shrinkToFit="1"/>
      <protection locked="0"/>
    </xf>
    <xf numFmtId="0" fontId="5" fillId="0" borderId="0" xfId="87" applyFont="1" applyFill="1" applyProtection="1"/>
    <xf numFmtId="0" fontId="20" fillId="0" borderId="0" xfId="87" applyFont="1" applyFill="1" applyProtection="1"/>
    <xf numFmtId="49" fontId="20" fillId="0" borderId="3" xfId="87" applyNumberFormat="1" applyFont="1" applyFill="1" applyBorder="1" applyAlignment="1" applyProtection="1">
      <alignment horizontal="center" vertical="top" wrapText="1"/>
      <protection locked="0"/>
    </xf>
    <xf numFmtId="166" fontId="20" fillId="0" borderId="3" xfId="87" applyNumberFormat="1" applyFont="1" applyFill="1" applyBorder="1" applyAlignment="1" applyProtection="1">
      <alignment shrinkToFit="1"/>
      <protection locked="0"/>
    </xf>
    <xf numFmtId="49" fontId="20" fillId="0" borderId="0" xfId="87" applyNumberFormat="1" applyFont="1" applyFill="1" applyBorder="1" applyAlignment="1" applyProtection="1">
      <alignment horizontal="center" vertical="top" wrapText="1"/>
    </xf>
    <xf numFmtId="166" fontId="20" fillId="0" borderId="0" xfId="87" applyNumberFormat="1" applyFont="1" applyFill="1" applyBorder="1" applyAlignment="1" applyProtection="1">
      <alignment shrinkToFit="1"/>
    </xf>
    <xf numFmtId="0" fontId="88" fillId="0" borderId="0" xfId="88" applyFont="1" applyAlignment="1">
      <alignment horizontal="left"/>
    </xf>
    <xf numFmtId="0" fontId="88" fillId="0" borderId="102" xfId="88" applyFont="1" applyBorder="1" applyAlignment="1">
      <alignment horizontal="left"/>
    </xf>
    <xf numFmtId="0" fontId="88" fillId="0" borderId="103" xfId="88" applyFont="1" applyBorder="1" applyAlignment="1">
      <alignment horizontal="left"/>
    </xf>
    <xf numFmtId="0" fontId="88" fillId="0" borderId="103" xfId="88" applyFont="1" applyFill="1" applyBorder="1" applyAlignment="1">
      <alignment horizontal="left"/>
    </xf>
    <xf numFmtId="0" fontId="88" fillId="0" borderId="123" xfId="88" applyFont="1" applyFill="1" applyBorder="1" applyAlignment="1">
      <alignment horizontal="left"/>
    </xf>
    <xf numFmtId="0" fontId="88" fillId="0" borderId="51" xfId="88" applyFont="1" applyBorder="1" applyAlignment="1">
      <alignment horizontal="center"/>
    </xf>
    <xf numFmtId="0" fontId="66" fillId="0" borderId="0" xfId="88" applyAlignment="1"/>
    <xf numFmtId="0" fontId="88" fillId="0" borderId="41" xfId="88" applyFont="1" applyFill="1" applyBorder="1" applyAlignment="1">
      <alignment horizontal="left"/>
    </xf>
    <xf numFmtId="0" fontId="66" fillId="0" borderId="51" xfId="88" applyBorder="1" applyAlignment="1"/>
    <xf numFmtId="0" fontId="88" fillId="0" borderId="41" xfId="88" applyFont="1" applyFill="1" applyBorder="1" applyAlignment="1">
      <alignment horizontal="left" vertical="top"/>
    </xf>
    <xf numFmtId="0" fontId="89" fillId="0" borderId="78" xfId="88" applyFont="1" applyBorder="1" applyAlignment="1">
      <alignment horizontal="right" vertical="top"/>
    </xf>
    <xf numFmtId="0" fontId="88" fillId="0" borderId="42" xfId="88" applyFont="1" applyBorder="1" applyAlignment="1">
      <alignment horizontal="left"/>
    </xf>
    <xf numFmtId="0" fontId="88" fillId="0" borderId="43" xfId="88" applyFont="1" applyFill="1" applyBorder="1" applyAlignment="1">
      <alignment horizontal="left"/>
    </xf>
    <xf numFmtId="0" fontId="88" fillId="0" borderId="51" xfId="88" applyFont="1" applyBorder="1" applyAlignment="1">
      <alignment horizontal="left"/>
    </xf>
    <xf numFmtId="0" fontId="88" fillId="0" borderId="0" xfId="88" applyFont="1" applyBorder="1" applyAlignment="1">
      <alignment horizontal="left"/>
    </xf>
    <xf numFmtId="0" fontId="88" fillId="0" borderId="0" xfId="88" applyFont="1" applyBorder="1" applyAlignment="1">
      <alignment horizontal="right"/>
    </xf>
    <xf numFmtId="0" fontId="88" fillId="0" borderId="41" xfId="88" applyFont="1" applyBorder="1" applyAlignment="1">
      <alignment horizontal="left"/>
    </xf>
    <xf numFmtId="0" fontId="93" fillId="27" borderId="124" xfId="88" applyFont="1" applyFill="1" applyBorder="1" applyAlignment="1">
      <alignment horizontal="center" vertical="center" wrapText="1"/>
    </xf>
    <xf numFmtId="0" fontId="93" fillId="27" borderId="125" xfId="88" applyFont="1" applyFill="1" applyBorder="1" applyAlignment="1">
      <alignment horizontal="center" vertical="center" wrapText="1"/>
    </xf>
    <xf numFmtId="0" fontId="93" fillId="27" borderId="126" xfId="88" applyFont="1" applyFill="1" applyBorder="1" applyAlignment="1">
      <alignment horizontal="center" vertical="center" wrapText="1"/>
    </xf>
    <xf numFmtId="0" fontId="94" fillId="27" borderId="126" xfId="88" applyFont="1" applyFill="1" applyBorder="1" applyAlignment="1">
      <alignment horizontal="center" vertical="center" wrapText="1"/>
    </xf>
    <xf numFmtId="0" fontId="95" fillId="27" borderId="126" xfId="88" applyFont="1" applyFill="1" applyBorder="1" applyAlignment="1">
      <alignment horizontal="center" vertical="center" wrapText="1"/>
    </xf>
    <xf numFmtId="0" fontId="96" fillId="0" borderId="0" xfId="88" applyFont="1" applyAlignment="1">
      <alignment horizontal="center" vertical="center" wrapText="1"/>
    </xf>
    <xf numFmtId="0" fontId="97" fillId="0" borderId="127" xfId="88" applyFont="1" applyBorder="1" applyAlignment="1">
      <alignment horizontal="center" vertical="center" wrapText="1"/>
    </xf>
    <xf numFmtId="0" fontId="97" fillId="0" borderId="56" xfId="88" applyFont="1" applyBorder="1" applyAlignment="1">
      <alignment horizontal="center" vertical="center" wrapText="1"/>
    </xf>
    <xf numFmtId="0" fontId="97" fillId="0" borderId="11" xfId="88" applyFont="1" applyBorder="1" applyAlignment="1">
      <alignment horizontal="center" vertical="center" wrapText="1"/>
    </xf>
    <xf numFmtId="0" fontId="98" fillId="21" borderId="11" xfId="88" applyFont="1" applyFill="1" applyBorder="1" applyAlignment="1">
      <alignment horizontal="center" vertical="center" wrapText="1"/>
    </xf>
    <xf numFmtId="178" fontId="98" fillId="21" borderId="11" xfId="88" applyNumberFormat="1" applyFont="1" applyFill="1" applyBorder="1" applyAlignment="1">
      <alignment horizontal="center" vertical="center" wrapText="1"/>
    </xf>
    <xf numFmtId="181" fontId="98" fillId="21" borderId="11" xfId="88" applyNumberFormat="1" applyFont="1" applyFill="1" applyBorder="1" applyAlignment="1">
      <alignment horizontal="center" vertical="center" wrapText="1"/>
    </xf>
    <xf numFmtId="181" fontId="98" fillId="21" borderId="55" xfId="88" applyNumberFormat="1" applyFont="1" applyFill="1" applyBorder="1" applyAlignment="1">
      <alignment horizontal="center" vertical="center" wrapText="1"/>
    </xf>
    <xf numFmtId="0" fontId="97" fillId="0" borderId="0" xfId="88" applyFont="1" applyAlignment="1">
      <alignment horizontal="center" vertical="center" wrapText="1"/>
    </xf>
    <xf numFmtId="0" fontId="88" fillId="0" borderId="127" xfId="88" applyFont="1" applyBorder="1" applyAlignment="1">
      <alignment horizontal="left"/>
    </xf>
    <xf numFmtId="0" fontId="88" fillId="0" borderId="56" xfId="88" applyFont="1" applyBorder="1" applyAlignment="1">
      <alignment horizontal="left"/>
    </xf>
    <xf numFmtId="0" fontId="88" fillId="0" borderId="11" xfId="88" applyFont="1" applyBorder="1" applyAlignment="1">
      <alignment horizontal="left"/>
    </xf>
    <xf numFmtId="0" fontId="88" fillId="0" borderId="0" xfId="88" applyFont="1" applyAlignment="1">
      <alignment horizontal="left" vertical="center"/>
    </xf>
    <xf numFmtId="0" fontId="88" fillId="0" borderId="127" xfId="88" applyFont="1" applyBorder="1" applyAlignment="1">
      <alignment horizontal="left" vertical="top"/>
    </xf>
    <xf numFmtId="0" fontId="88" fillId="0" borderId="56" xfId="88" applyFont="1" applyBorder="1" applyAlignment="1">
      <alignment horizontal="left" vertical="top"/>
    </xf>
    <xf numFmtId="0" fontId="88" fillId="0" borderId="11" xfId="88" applyFont="1" applyBorder="1" applyAlignment="1">
      <alignment horizontal="left" vertical="top"/>
    </xf>
    <xf numFmtId="0" fontId="88" fillId="0" borderId="0" xfId="88" applyFont="1" applyAlignment="1">
      <alignment horizontal="left" vertical="top"/>
    </xf>
    <xf numFmtId="0" fontId="88" fillId="0" borderId="128" xfId="88" applyFont="1" applyBorder="1" applyAlignment="1">
      <alignment horizontal="left" vertical="top"/>
    </xf>
    <xf numFmtId="0" fontId="88" fillId="0" borderId="96" xfId="88" applyFont="1" applyBorder="1" applyAlignment="1">
      <alignment horizontal="left" vertical="top"/>
    </xf>
    <xf numFmtId="0" fontId="88" fillId="0" borderId="97" xfId="88" applyFont="1" applyBorder="1" applyAlignment="1">
      <alignment horizontal="left" vertical="top"/>
    </xf>
    <xf numFmtId="0" fontId="98" fillId="21" borderId="97" xfId="88" applyFont="1" applyFill="1" applyBorder="1" applyAlignment="1">
      <alignment horizontal="center" vertical="center" wrapText="1"/>
    </xf>
    <xf numFmtId="178" fontId="98" fillId="21" borderId="97" xfId="88" applyNumberFormat="1" applyFont="1" applyFill="1" applyBorder="1" applyAlignment="1">
      <alignment horizontal="center" vertical="center" wrapText="1"/>
    </xf>
    <xf numFmtId="181" fontId="98" fillId="21" borderId="97" xfId="88" applyNumberFormat="1" applyFont="1" applyFill="1" applyBorder="1" applyAlignment="1">
      <alignment horizontal="center" vertical="center" wrapText="1"/>
    </xf>
    <xf numFmtId="181" fontId="98" fillId="21" borderId="95" xfId="88" applyNumberFormat="1" applyFont="1" applyFill="1" applyBorder="1" applyAlignment="1">
      <alignment horizontal="center" vertical="center" wrapText="1"/>
    </xf>
    <xf numFmtId="0" fontId="66" fillId="28" borderId="129" xfId="88" applyFill="1" applyBorder="1" applyAlignment="1">
      <alignment horizontal="left" vertical="center" wrapText="1"/>
    </xf>
    <xf numFmtId="0" fontId="66" fillId="28" borderId="130" xfId="88" applyFill="1" applyBorder="1" applyAlignment="1">
      <alignment horizontal="left" vertical="center" wrapText="1"/>
    </xf>
    <xf numFmtId="0" fontId="92" fillId="28" borderId="130" xfId="88" applyFont="1" applyFill="1" applyBorder="1" applyAlignment="1">
      <alignment horizontal="right" vertical="center" wrapText="1"/>
    </xf>
    <xf numFmtId="0" fontId="92" fillId="28" borderId="130" xfId="88" applyFont="1" applyFill="1" applyBorder="1" applyAlignment="1">
      <alignment horizontal="center" vertical="center" wrapText="1"/>
    </xf>
    <xf numFmtId="0" fontId="66" fillId="28" borderId="131" xfId="88" applyFill="1" applyBorder="1" applyAlignment="1">
      <alignment horizontal="left" vertical="center" wrapText="1"/>
    </xf>
    <xf numFmtId="0" fontId="66" fillId="28" borderId="112" xfId="88" applyFill="1" applyBorder="1" applyAlignment="1">
      <alignment horizontal="left" vertical="center" wrapText="1"/>
    </xf>
    <xf numFmtId="0" fontId="66" fillId="28" borderId="122" xfId="88" applyFill="1" applyBorder="1" applyAlignment="1">
      <alignment horizontal="left" vertical="center" wrapText="1"/>
    </xf>
    <xf numFmtId="0" fontId="91" fillId="0" borderId="0" xfId="88" applyFont="1" applyBorder="1" applyAlignment="1">
      <alignment horizontal="center"/>
    </xf>
    <xf numFmtId="0" fontId="88" fillId="0" borderId="0" xfId="88" applyFont="1" applyBorder="1" applyAlignment="1">
      <alignment horizontal="center"/>
    </xf>
    <xf numFmtId="0" fontId="88" fillId="0" borderId="41" xfId="88" applyFont="1" applyBorder="1" applyAlignment="1">
      <alignment horizontal="center"/>
    </xf>
    <xf numFmtId="0" fontId="88" fillId="0" borderId="51" xfId="88" applyFont="1" applyBorder="1" applyAlignment="1">
      <alignment horizontal="left" wrapText="1"/>
    </xf>
    <xf numFmtId="0" fontId="88" fillId="0" borderId="0" xfId="88" applyFont="1" applyBorder="1" applyAlignment="1">
      <alignment horizontal="left" wrapText="1"/>
    </xf>
    <xf numFmtId="0" fontId="66" fillId="0" borderId="0" xfId="88" applyBorder="1" applyAlignment="1">
      <alignment horizontal="left" wrapText="1"/>
    </xf>
    <xf numFmtId="0" fontId="66" fillId="0" borderId="41" xfId="88" applyBorder="1" applyAlignment="1">
      <alignment horizontal="left" wrapText="1"/>
    </xf>
    <xf numFmtId="0" fontId="66" fillId="0" borderId="0" xfId="88" applyBorder="1" applyAlignment="1">
      <alignment horizontal="left" vertical="center" wrapText="1"/>
    </xf>
    <xf numFmtId="0" fontId="91" fillId="0" borderId="0" xfId="88" applyFont="1" applyBorder="1" applyAlignment="1">
      <alignment horizontal="right"/>
    </xf>
    <xf numFmtId="181" fontId="88" fillId="0" borderId="0" xfId="88" applyNumberFormat="1" applyFont="1" applyBorder="1" applyAlignment="1">
      <alignment horizontal="right"/>
    </xf>
    <xf numFmtId="178" fontId="88" fillId="0" borderId="0" xfId="88" applyNumberFormat="1" applyFont="1" applyBorder="1" applyAlignment="1">
      <alignment horizontal="right"/>
    </xf>
    <xf numFmtId="0" fontId="97" fillId="0" borderId="132" xfId="88" applyFont="1" applyBorder="1" applyAlignment="1">
      <alignment horizontal="center" vertical="top" wrapText="1"/>
    </xf>
    <xf numFmtId="0" fontId="99" fillId="0" borderId="0" xfId="88" applyFont="1" applyBorder="1" applyAlignment="1">
      <alignment horizontal="center" vertical="top" wrapText="1"/>
    </xf>
    <xf numFmtId="0" fontId="97" fillId="0" borderId="89" xfId="88" applyFont="1" applyBorder="1" applyAlignment="1">
      <alignment horizontal="center" vertical="top" wrapText="1"/>
    </xf>
    <xf numFmtId="0" fontId="97" fillId="0" borderId="0" xfId="88" applyFont="1" applyBorder="1" applyAlignment="1">
      <alignment horizontal="center" vertical="top" wrapText="1"/>
    </xf>
    <xf numFmtId="0" fontId="88" fillId="0" borderId="0" xfId="88" applyFont="1" applyBorder="1" applyAlignment="1">
      <alignment horizontal="center" vertical="top" wrapText="1"/>
    </xf>
    <xf numFmtId="0" fontId="88" fillId="0" borderId="41" xfId="88" applyFont="1" applyBorder="1" applyAlignment="1">
      <alignment horizontal="center" vertical="top" wrapText="1"/>
    </xf>
    <xf numFmtId="0" fontId="88" fillId="0" borderId="0" xfId="88" applyFont="1" applyAlignment="1">
      <alignment horizontal="center" vertical="top" wrapText="1"/>
    </xf>
    <xf numFmtId="0" fontId="88" fillId="0" borderId="78" xfId="88" applyFont="1" applyBorder="1" applyAlignment="1">
      <alignment horizontal="left"/>
    </xf>
    <xf numFmtId="0" fontId="88" fillId="0" borderId="42" xfId="88" applyFont="1" applyBorder="1" applyAlignment="1">
      <alignment horizontal="right"/>
    </xf>
    <xf numFmtId="0" fontId="88" fillId="0" borderId="42" xfId="88" applyFont="1" applyBorder="1" applyAlignment="1">
      <alignment horizontal="center"/>
    </xf>
    <xf numFmtId="0" fontId="88" fillId="0" borderId="43" xfId="88" applyFont="1" applyBorder="1" applyAlignment="1">
      <alignment horizontal="center"/>
    </xf>
    <xf numFmtId="0" fontId="66" fillId="0" borderId="51" xfId="88" applyBorder="1" applyAlignment="1">
      <alignment horizontal="left" vertical="center" wrapText="1"/>
    </xf>
    <xf numFmtId="0" fontId="66" fillId="0" borderId="41" xfId="88" applyBorder="1" applyAlignment="1">
      <alignment horizontal="left" vertical="center" wrapText="1"/>
    </xf>
    <xf numFmtId="0" fontId="96" fillId="0" borderId="0" xfId="88" applyFont="1" applyBorder="1" applyAlignment="1">
      <alignment horizontal="center" vertical="top" wrapText="1"/>
    </xf>
    <xf numFmtId="0" fontId="96" fillId="0" borderId="0" xfId="88" applyFont="1" applyFill="1" applyBorder="1" applyAlignment="1">
      <alignment horizontal="center" vertical="top" wrapText="1"/>
    </xf>
    <xf numFmtId="0" fontId="96" fillId="0" borderId="0" xfId="88" applyFont="1" applyBorder="1" applyAlignment="1">
      <alignment horizontal="center" vertical="center" wrapText="1"/>
    </xf>
    <xf numFmtId="182" fontId="101" fillId="0" borderId="0" xfId="88" applyNumberFormat="1" applyFont="1" applyBorder="1" applyAlignment="1">
      <alignment horizontal="left" vertical="top"/>
    </xf>
    <xf numFmtId="0" fontId="101" fillId="0" borderId="0" xfId="88" applyFont="1" applyBorder="1" applyAlignment="1">
      <alignment horizontal="left" vertical="top"/>
    </xf>
    <xf numFmtId="0" fontId="102" fillId="0" borderId="0" xfId="88" applyFont="1" applyBorder="1" applyAlignment="1">
      <alignment horizontal="center" vertical="top" wrapText="1"/>
    </xf>
    <xf numFmtId="0" fontId="26" fillId="0" borderId="0" xfId="84" applyFont="1" applyBorder="1" applyProtection="1"/>
    <xf numFmtId="0" fontId="60" fillId="0" borderId="0" xfId="84" applyFont="1" applyBorder="1" applyProtection="1"/>
    <xf numFmtId="0" fontId="66" fillId="0" borderId="0" xfId="88" applyBorder="1" applyAlignment="1">
      <alignment horizontal="left" vertical="top" wrapText="1"/>
    </xf>
    <xf numFmtId="0" fontId="66" fillId="0" borderId="0" xfId="88" applyBorder="1"/>
    <xf numFmtId="0" fontId="88" fillId="0" borderId="0" xfId="88" applyFont="1" applyAlignment="1">
      <alignment horizontal="right"/>
    </xf>
    <xf numFmtId="0" fontId="88" fillId="0" borderId="0" xfId="88" applyFont="1" applyAlignment="1">
      <alignment horizontal="center"/>
    </xf>
    <xf numFmtId="0" fontId="87" fillId="21" borderId="102" xfId="88" applyFont="1" applyFill="1" applyBorder="1" applyAlignment="1">
      <alignment horizontal="center" wrapText="1"/>
    </xf>
    <xf numFmtId="0" fontId="87" fillId="21" borderId="103" xfId="88" applyFont="1" applyFill="1" applyBorder="1" applyAlignment="1">
      <alignment horizontal="center" wrapText="1"/>
    </xf>
    <xf numFmtId="0" fontId="66" fillId="21" borderId="103" xfId="88" applyFill="1" applyBorder="1" applyAlignment="1">
      <alignment wrapText="1"/>
    </xf>
    <xf numFmtId="0" fontId="66" fillId="21" borderId="123" xfId="88" applyFill="1" applyBorder="1" applyAlignment="1">
      <alignment wrapText="1"/>
    </xf>
    <xf numFmtId="0" fontId="87" fillId="21" borderId="51" xfId="88" applyFont="1" applyFill="1" applyBorder="1" applyAlignment="1">
      <alignment horizontal="center" wrapText="1"/>
    </xf>
    <xf numFmtId="0" fontId="87" fillId="21" borderId="0" xfId="88" applyFont="1" applyFill="1" applyBorder="1" applyAlignment="1">
      <alignment horizontal="center" wrapText="1"/>
    </xf>
    <xf numFmtId="0" fontId="66" fillId="21" borderId="0" xfId="88" applyFill="1" applyBorder="1" applyAlignment="1">
      <alignment wrapText="1"/>
    </xf>
    <xf numFmtId="0" fontId="66" fillId="21" borderId="41" xfId="88" applyFill="1" applyBorder="1" applyAlignment="1">
      <alignment wrapText="1"/>
    </xf>
    <xf numFmtId="0" fontId="88" fillId="21" borderId="78" xfId="88" applyFont="1" applyFill="1" applyBorder="1" applyAlignment="1">
      <alignment horizontal="left"/>
    </xf>
    <xf numFmtId="0" fontId="88" fillId="21" borderId="42" xfId="88" applyFont="1" applyFill="1" applyBorder="1" applyAlignment="1">
      <alignment horizontal="left"/>
    </xf>
    <xf numFmtId="0" fontId="88" fillId="21" borderId="43" xfId="88" applyFont="1" applyFill="1" applyBorder="1" applyAlignment="1">
      <alignment horizontal="left"/>
    </xf>
    <xf numFmtId="0" fontId="66" fillId="0" borderId="78" xfId="88" applyBorder="1" applyAlignment="1">
      <alignment horizontal="left" vertical="center" wrapText="1"/>
    </xf>
    <xf numFmtId="0" fontId="66" fillId="0" borderId="42" xfId="88" applyBorder="1" applyAlignment="1">
      <alignment horizontal="left" vertical="center" wrapText="1"/>
    </xf>
    <xf numFmtId="0" fontId="96" fillId="0" borderId="42" xfId="88" applyFont="1" applyBorder="1" applyAlignment="1">
      <alignment horizontal="center" vertical="top" wrapText="1"/>
    </xf>
    <xf numFmtId="0" fontId="63" fillId="0" borderId="0" xfId="87" applyFont="1"/>
    <xf numFmtId="0" fontId="37" fillId="0" borderId="0" xfId="86" applyFont="1" applyProtection="1"/>
    <xf numFmtId="0" fontId="63" fillId="0" borderId="0" xfId="86"/>
    <xf numFmtId="0" fontId="47" fillId="0" borderId="0" xfId="86" applyFont="1" applyBorder="1" applyAlignment="1" applyProtection="1">
      <alignment vertical="top"/>
    </xf>
    <xf numFmtId="0" fontId="15" fillId="0" borderId="0" xfId="86" applyFont="1" applyAlignment="1" applyProtection="1">
      <alignment horizontal="right"/>
    </xf>
    <xf numFmtId="0" fontId="5" fillId="0" borderId="0" xfId="86" applyFont="1" applyProtection="1"/>
    <xf numFmtId="0" fontId="10" fillId="20" borderId="44" xfId="86" applyFont="1" applyFill="1" applyBorder="1" applyAlignment="1" applyProtection="1">
      <alignment vertical="top"/>
    </xf>
    <xf numFmtId="0" fontId="5" fillId="20" borderId="48" xfId="86" applyFont="1" applyFill="1" applyBorder="1" applyAlignment="1" applyProtection="1">
      <alignment vertical="top"/>
    </xf>
    <xf numFmtId="0" fontId="5" fillId="20" borderId="48" xfId="86" applyFont="1" applyFill="1" applyBorder="1" applyAlignment="1" applyProtection="1">
      <alignment horizontal="right" vertical="top"/>
    </xf>
    <xf numFmtId="0" fontId="104" fillId="20" borderId="48" xfId="86" applyFont="1" applyFill="1" applyBorder="1" applyAlignment="1" applyProtection="1">
      <alignment horizontal="center" vertical="center" wrapText="1"/>
    </xf>
    <xf numFmtId="0" fontId="5" fillId="20" borderId="48" xfId="86" applyFont="1" applyFill="1" applyBorder="1" applyProtection="1"/>
    <xf numFmtId="0" fontId="5" fillId="20" borderId="48" xfId="86" applyFont="1" applyFill="1" applyBorder="1" applyAlignment="1" applyProtection="1">
      <alignment horizontal="center" textRotation="90"/>
    </xf>
    <xf numFmtId="0" fontId="5" fillId="20" borderId="45" xfId="86" applyFont="1" applyFill="1" applyBorder="1" applyAlignment="1" applyProtection="1">
      <alignment horizontal="center" textRotation="90"/>
    </xf>
    <xf numFmtId="0" fontId="10" fillId="0" borderId="0" xfId="86" applyFont="1" applyAlignment="1" applyProtection="1">
      <alignment vertical="top"/>
    </xf>
    <xf numFmtId="0" fontId="5" fillId="0" borderId="0" xfId="86" applyFont="1" applyAlignment="1" applyProtection="1">
      <alignment vertical="top"/>
    </xf>
    <xf numFmtId="0" fontId="5" fillId="0" borderId="0" xfId="86" applyFont="1" applyAlignment="1" applyProtection="1">
      <alignment horizontal="right" vertical="top"/>
    </xf>
    <xf numFmtId="0" fontId="5" fillId="0" borderId="0" xfId="86" applyFont="1" applyAlignment="1" applyProtection="1">
      <alignment wrapText="1"/>
    </xf>
    <xf numFmtId="0" fontId="10" fillId="0" borderId="0" xfId="86" applyFont="1" applyAlignment="1" applyProtection="1">
      <alignment horizontal="center"/>
    </xf>
    <xf numFmtId="0" fontId="10" fillId="0" borderId="0" xfId="86" applyFont="1" applyAlignment="1" applyProtection="1">
      <alignment horizontal="right" vertical="top"/>
    </xf>
    <xf numFmtId="0" fontId="10" fillId="0" borderId="0" xfId="86" applyFont="1" applyAlignment="1" applyProtection="1">
      <alignment horizontal="center" vertical="top"/>
    </xf>
    <xf numFmtId="0" fontId="10" fillId="0" borderId="0" xfId="86" applyFont="1" applyAlignment="1" applyProtection="1">
      <alignment vertical="top" wrapText="1"/>
    </xf>
    <xf numFmtId="0" fontId="10" fillId="0" borderId="11" xfId="86" applyFont="1" applyFill="1" applyBorder="1" applyAlignment="1" applyProtection="1">
      <alignment horizontal="center" vertical="center"/>
    </xf>
    <xf numFmtId="0" fontId="10" fillId="19" borderId="11" xfId="86" applyFont="1" applyFill="1" applyBorder="1" applyAlignment="1" applyProtection="1">
      <alignment horizontal="center"/>
      <protection locked="0"/>
    </xf>
    <xf numFmtId="0" fontId="63" fillId="0" borderId="0" xfId="86" applyFill="1"/>
    <xf numFmtId="0" fontId="10" fillId="0" borderId="0" xfId="86" applyFont="1" applyFill="1" applyAlignment="1" applyProtection="1">
      <alignment vertical="top"/>
    </xf>
    <xf numFmtId="0" fontId="5" fillId="0" borderId="0" xfId="86" applyFont="1" applyFill="1" applyAlignment="1" applyProtection="1">
      <alignment horizontal="right" vertical="top"/>
    </xf>
    <xf numFmtId="0" fontId="5" fillId="0" borderId="0" xfId="86" applyFont="1" applyFill="1" applyAlignment="1" applyProtection="1">
      <alignment vertical="top"/>
    </xf>
    <xf numFmtId="0" fontId="5" fillId="0" borderId="0" xfId="86" applyFont="1" applyFill="1" applyAlignment="1" applyProtection="1">
      <alignment horizontal="center" vertical="top"/>
    </xf>
    <xf numFmtId="0" fontId="63" fillId="0" borderId="0" xfId="86" applyFill="1" applyAlignment="1" applyProtection="1">
      <alignment vertical="top" wrapText="1"/>
    </xf>
    <xf numFmtId="0" fontId="10" fillId="0" borderId="0" xfId="86" applyFont="1" applyFill="1" applyAlignment="1" applyProtection="1">
      <alignment horizontal="right" vertical="top"/>
    </xf>
    <xf numFmtId="0" fontId="10" fillId="0" borderId="0" xfId="86" applyFont="1" applyFill="1" applyAlignment="1" applyProtection="1">
      <alignment horizontal="center" vertical="top"/>
    </xf>
    <xf numFmtId="0" fontId="10" fillId="0" borderId="0" xfId="86" applyFont="1" applyFill="1" applyAlignment="1" applyProtection="1">
      <alignment vertical="top" wrapText="1"/>
    </xf>
    <xf numFmtId="0" fontId="5" fillId="0" borderId="0" xfId="86" applyFont="1" applyFill="1" applyAlignment="1" applyProtection="1">
      <alignment vertical="top" wrapText="1"/>
    </xf>
    <xf numFmtId="0" fontId="10" fillId="28" borderId="56" xfId="86" applyFont="1" applyFill="1" applyBorder="1" applyAlignment="1" applyProtection="1">
      <alignment horizontal="center"/>
    </xf>
    <xf numFmtId="0" fontId="5" fillId="19" borderId="11" xfId="86" applyFont="1" applyFill="1" applyBorder="1" applyProtection="1">
      <protection locked="0"/>
    </xf>
    <xf numFmtId="0" fontId="10" fillId="0" borderId="107" xfId="86" applyFont="1" applyFill="1" applyBorder="1" applyAlignment="1" applyProtection="1">
      <alignment horizontal="center"/>
    </xf>
    <xf numFmtId="0" fontId="10" fillId="26" borderId="40" xfId="86" applyFont="1" applyFill="1" applyBorder="1" applyAlignment="1" applyProtection="1">
      <alignment horizontal="center" vertical="center"/>
    </xf>
    <xf numFmtId="0" fontId="5" fillId="26" borderId="27" xfId="86" applyFont="1" applyFill="1" applyBorder="1" applyProtection="1"/>
    <xf numFmtId="0" fontId="5" fillId="0" borderId="0" xfId="86" applyFont="1" applyFill="1" applyAlignment="1" applyProtection="1">
      <alignment horizontal="left" vertical="top" wrapText="1"/>
    </xf>
    <xf numFmtId="0" fontId="105" fillId="0" borderId="0" xfId="86" applyFont="1" applyFill="1" applyAlignment="1" applyProtection="1">
      <alignment horizontal="right" vertical="top"/>
    </xf>
    <xf numFmtId="0" fontId="105" fillId="0" borderId="0" xfId="86" applyFont="1" applyFill="1" applyAlignment="1" applyProtection="1">
      <alignment vertical="top"/>
    </xf>
    <xf numFmtId="0" fontId="10" fillId="0" borderId="40" xfId="86" applyFont="1" applyFill="1" applyBorder="1" applyAlignment="1" applyProtection="1">
      <alignment horizontal="center" vertical="center"/>
    </xf>
    <xf numFmtId="0" fontId="5" fillId="0" borderId="0" xfId="86" quotePrefix="1" applyFont="1" applyFill="1" applyAlignment="1" applyProtection="1">
      <alignment horizontal="right" vertical="top"/>
    </xf>
    <xf numFmtId="0" fontId="10" fillId="0" borderId="40" xfId="86" applyFont="1" applyFill="1" applyBorder="1" applyAlignment="1" applyProtection="1">
      <alignment horizontal="center"/>
    </xf>
    <xf numFmtId="0" fontId="105" fillId="0" borderId="0" xfId="86" applyFont="1" applyFill="1" applyAlignment="1" applyProtection="1">
      <alignment horizontal="center" vertical="top"/>
    </xf>
    <xf numFmtId="0" fontId="10" fillId="0" borderId="0" xfId="86" applyFont="1" applyFill="1" applyBorder="1" applyAlignment="1" applyProtection="1">
      <alignment horizontal="center" vertical="center"/>
    </xf>
    <xf numFmtId="0" fontId="5" fillId="0" borderId="0" xfId="86" applyFont="1" applyFill="1" applyBorder="1" applyProtection="1">
      <protection locked="0"/>
    </xf>
    <xf numFmtId="0" fontId="10" fillId="28" borderId="11" xfId="86" applyFont="1" applyFill="1" applyBorder="1" applyAlignment="1" applyProtection="1">
      <alignment horizontal="center"/>
    </xf>
    <xf numFmtId="0" fontId="5" fillId="19" borderId="55" xfId="86" applyFont="1" applyFill="1" applyBorder="1" applyProtection="1">
      <protection locked="0"/>
    </xf>
    <xf numFmtId="0" fontId="5" fillId="0" borderId="0" xfId="86" applyFont="1" applyAlignment="1" applyProtection="1">
      <alignment horizontal="left" vertical="top" wrapText="1"/>
    </xf>
    <xf numFmtId="0" fontId="5" fillId="0" borderId="0" xfId="86" applyFont="1" applyAlignment="1">
      <alignment horizontal="right" vertical="top"/>
    </xf>
    <xf numFmtId="0" fontId="5" fillId="0" borderId="0" xfId="86" applyFont="1"/>
    <xf numFmtId="0" fontId="5" fillId="0" borderId="0" xfId="86" applyFont="1" applyAlignment="1">
      <alignment vertical="top"/>
    </xf>
    <xf numFmtId="0" fontId="63" fillId="0" borderId="0" xfId="86" applyAlignment="1">
      <alignment vertical="top"/>
    </xf>
    <xf numFmtId="0" fontId="66" fillId="0" borderId="0" xfId="85"/>
    <xf numFmtId="0" fontId="66" fillId="0" borderId="0" xfId="85" applyFill="1"/>
    <xf numFmtId="0" fontId="66" fillId="0" borderId="40" xfId="85" applyFill="1" applyBorder="1"/>
    <xf numFmtId="0" fontId="106" fillId="0" borderId="0" xfId="85" applyFont="1" applyFill="1" applyBorder="1"/>
    <xf numFmtId="0" fontId="106" fillId="0" borderId="40" xfId="85" applyFont="1" applyFill="1" applyBorder="1"/>
    <xf numFmtId="0" fontId="66" fillId="0" borderId="0" xfId="85" applyAlignment="1">
      <alignment vertical="top"/>
    </xf>
    <xf numFmtId="167" fontId="5" fillId="19" borderId="85" xfId="0" applyNumberFormat="1" applyFont="1" applyFill="1" applyBorder="1" applyAlignment="1" applyProtection="1">
      <alignment horizontal="left"/>
      <protection locked="0"/>
    </xf>
    <xf numFmtId="0" fontId="108" fillId="0" borderId="0" xfId="0" applyFont="1" applyProtection="1"/>
    <xf numFmtId="0" fontId="42" fillId="0" borderId="0" xfId="0" quotePrefix="1" applyFont="1" applyAlignment="1" applyProtection="1">
      <alignment horizontal="right"/>
    </xf>
    <xf numFmtId="0" fontId="42" fillId="0" borderId="0" xfId="0" quotePrefix="1" applyFont="1" applyAlignment="1" applyProtection="1">
      <alignment horizontal="right" vertical="top"/>
    </xf>
    <xf numFmtId="0" fontId="5" fillId="19" borderId="0" xfId="86" applyFont="1" applyFill="1" applyBorder="1" applyProtection="1">
      <protection locked="0"/>
    </xf>
    <xf numFmtId="41" fontId="26" fillId="0" borderId="0" xfId="0" applyNumberFormat="1" applyFont="1" applyFill="1" applyProtection="1"/>
    <xf numFmtId="0" fontId="40" fillId="0" borderId="0" xfId="0" applyFont="1" applyBorder="1" applyAlignment="1" applyProtection="1">
      <alignment horizontal="left" vertical="center"/>
    </xf>
    <xf numFmtId="3" fontId="5" fillId="0" borderId="0" xfId="0" applyNumberFormat="1" applyFont="1" applyAlignment="1" applyProtection="1">
      <alignment horizontal="center"/>
    </xf>
    <xf numFmtId="0" fontId="37" fillId="0" borderId="0" xfId="0" applyFont="1" applyAlignment="1" applyProtection="1">
      <alignment vertical="top"/>
    </xf>
    <xf numFmtId="14" fontId="110" fillId="19" borderId="11" xfId="0" applyNumberFormat="1" applyFont="1" applyFill="1" applyBorder="1" applyAlignment="1" applyProtection="1">
      <alignment horizontal="center"/>
      <protection locked="0"/>
    </xf>
    <xf numFmtId="0" fontId="20" fillId="19" borderId="55" xfId="0" applyFont="1" applyFill="1" applyBorder="1" applyAlignment="1" applyProtection="1">
      <alignment horizontal="left"/>
      <protection locked="0"/>
    </xf>
    <xf numFmtId="0" fontId="59" fillId="0" borderId="0" xfId="0" applyFont="1" applyBorder="1" applyProtection="1"/>
    <xf numFmtId="167" fontId="5" fillId="0" borderId="11" xfId="91" applyNumberFormat="1" applyFont="1" applyFill="1" applyBorder="1" applyAlignment="1" applyProtection="1">
      <alignment horizontal="left"/>
      <protection locked="0"/>
    </xf>
    <xf numFmtId="0" fontId="63" fillId="0" borderId="0" xfId="86" applyAlignment="1">
      <alignment horizontal="center"/>
    </xf>
    <xf numFmtId="0" fontId="10" fillId="0" borderId="0" xfId="86" applyFont="1"/>
    <xf numFmtId="0" fontId="10" fillId="0" borderId="21" xfId="0" applyFont="1" applyBorder="1" applyAlignment="1"/>
    <xf numFmtId="0" fontId="111" fillId="0" borderId="0" xfId="85" applyFont="1"/>
    <xf numFmtId="0" fontId="10" fillId="0" borderId="57" xfId="86" applyFont="1" applyFill="1" applyBorder="1" applyAlignment="1" applyProtection="1">
      <alignment horizontal="center" vertical="center"/>
    </xf>
    <xf numFmtId="0" fontId="5" fillId="0" borderId="57" xfId="86" applyFont="1" applyFill="1" applyBorder="1" applyProtection="1"/>
    <xf numFmtId="0" fontId="10" fillId="26" borderId="55" xfId="86" applyFont="1" applyFill="1" applyBorder="1" applyAlignment="1" applyProtection="1">
      <alignment horizontal="center" vertical="center"/>
    </xf>
    <xf numFmtId="0" fontId="5" fillId="26" borderId="56" xfId="86" applyFont="1" applyFill="1" applyBorder="1" applyProtection="1"/>
    <xf numFmtId="0" fontId="5" fillId="21" borderId="0" xfId="86" applyFont="1" applyFill="1" applyAlignment="1" applyProtection="1">
      <alignment vertical="top" wrapText="1"/>
    </xf>
    <xf numFmtId="0" fontId="5" fillId="0" borderId="57" xfId="86" applyFont="1" applyFill="1" applyBorder="1" applyProtection="1">
      <protection locked="0"/>
    </xf>
    <xf numFmtId="0" fontId="5" fillId="21" borderId="0" xfId="86" applyFont="1" applyFill="1" applyAlignment="1" applyProtection="1">
      <alignment horizontal="right" vertical="top"/>
    </xf>
    <xf numFmtId="0" fontId="5" fillId="21" borderId="0" xfId="86" applyFont="1" applyFill="1" applyAlignment="1" applyProtection="1">
      <alignment vertical="top"/>
    </xf>
    <xf numFmtId="0" fontId="5" fillId="21" borderId="0" xfId="86" applyFont="1" applyFill="1" applyAlignment="1" applyProtection="1">
      <alignment horizontal="center" vertical="top"/>
    </xf>
    <xf numFmtId="0" fontId="63" fillId="21" borderId="0" xfId="86" applyFill="1"/>
    <xf numFmtId="169" fontId="5" fillId="0" borderId="35" xfId="91" applyNumberFormat="1" applyFont="1" applyFill="1" applyBorder="1" applyAlignment="1" applyProtection="1">
      <alignment horizontal="center"/>
      <protection locked="0"/>
    </xf>
    <xf numFmtId="0" fontId="5" fillId="0" borderId="11" xfId="0" applyFont="1" applyFill="1" applyBorder="1" applyProtection="1">
      <protection locked="0"/>
    </xf>
    <xf numFmtId="0" fontId="10" fillId="0" borderId="11" xfId="0" applyFont="1" applyFill="1" applyBorder="1" applyProtection="1">
      <protection locked="0"/>
    </xf>
    <xf numFmtId="0" fontId="20" fillId="19" borderId="11" xfId="0" applyFont="1" applyFill="1" applyBorder="1" applyAlignment="1" applyProtection="1">
      <protection locked="0"/>
    </xf>
    <xf numFmtId="0" fontId="112" fillId="0" borderId="0" xfId="0" applyFont="1" applyBorder="1" applyProtection="1"/>
    <xf numFmtId="0" fontId="113" fillId="0" borderId="0" xfId="0" applyFont="1" applyBorder="1" applyProtection="1"/>
    <xf numFmtId="167" fontId="114" fillId="19" borderId="11" xfId="0" applyNumberFormat="1" applyFont="1" applyFill="1" applyBorder="1" applyAlignment="1" applyProtection="1">
      <alignment horizontal="left"/>
      <protection locked="0"/>
    </xf>
    <xf numFmtId="0" fontId="113" fillId="0" borderId="0" xfId="0" applyFont="1" applyProtection="1"/>
    <xf numFmtId="0" fontId="63" fillId="21" borderId="0" xfId="0" applyFont="1" applyFill="1" applyAlignment="1" applyProtection="1"/>
    <xf numFmtId="0" fontId="5" fillId="0" borderId="0" xfId="86" applyFont="1" applyFill="1" applyAlignment="1" applyProtection="1">
      <alignment horizontal="left" vertical="center" wrapText="1"/>
    </xf>
    <xf numFmtId="0" fontId="20" fillId="0" borderId="0" xfId="241" applyFont="1" applyFill="1" applyBorder="1" applyProtection="1"/>
    <xf numFmtId="16" fontId="20" fillId="0" borderId="0" xfId="241" applyNumberFormat="1" applyFont="1" applyFill="1" applyBorder="1" applyProtection="1"/>
    <xf numFmtId="0" fontId="20" fillId="0" borderId="0" xfId="241" applyFont="1" applyBorder="1" applyAlignment="1" applyProtection="1">
      <alignment horizontal="left" vertical="top"/>
    </xf>
    <xf numFmtId="0" fontId="2" fillId="0" borderId="0" xfId="241" applyAlignment="1"/>
    <xf numFmtId="0" fontId="2" fillId="0" borderId="0" xfId="241" applyBorder="1"/>
    <xf numFmtId="0" fontId="14" fillId="0" borderId="89" xfId="241" applyFont="1" applyBorder="1" applyAlignment="1" applyProtection="1">
      <alignment horizontal="center"/>
    </xf>
    <xf numFmtId="0" fontId="14" fillId="0" borderId="89" xfId="241" applyFont="1" applyBorder="1" applyProtection="1"/>
    <xf numFmtId="0" fontId="37" fillId="0" borderId="0" xfId="241" applyFont="1" applyProtection="1"/>
    <xf numFmtId="0" fontId="5" fillId="0" borderId="0" xfId="241" applyFont="1" applyProtection="1"/>
    <xf numFmtId="0" fontId="15" fillId="0" borderId="0" xfId="241" applyFont="1" applyBorder="1" applyAlignment="1" applyProtection="1">
      <alignment horizontal="right"/>
    </xf>
    <xf numFmtId="0" fontId="47" fillId="0" borderId="0" xfId="241" applyFont="1" applyBorder="1" applyProtection="1"/>
    <xf numFmtId="0" fontId="2" fillId="0" borderId="0" xfId="241"/>
    <xf numFmtId="0" fontId="5" fillId="20" borderId="48" xfId="241" applyFont="1" applyFill="1" applyBorder="1" applyProtection="1"/>
    <xf numFmtId="0" fontId="5" fillId="20" borderId="45" xfId="241" applyFont="1" applyFill="1" applyBorder="1" applyProtection="1"/>
    <xf numFmtId="0" fontId="11" fillId="0" borderId="0" xfId="241" applyFont="1" applyBorder="1" applyAlignment="1" applyProtection="1">
      <alignment horizontal="center"/>
    </xf>
    <xf numFmtId="0" fontId="4" fillId="0" borderId="0" xfId="241" applyFont="1" applyProtection="1"/>
    <xf numFmtId="0" fontId="61" fillId="0" borderId="0" xfId="241" applyFont="1" applyProtection="1"/>
    <xf numFmtId="0" fontId="26" fillId="0" borderId="0" xfId="241" applyFont="1" applyProtection="1"/>
    <xf numFmtId="1" fontId="5" fillId="0" borderId="0" xfId="241" applyNumberFormat="1" applyFont="1" applyAlignment="1" applyProtection="1">
      <alignment horizontal="center" vertical="center"/>
    </xf>
    <xf numFmtId="0" fontId="10" fillId="0" borderId="0" xfId="241" applyFont="1" applyFill="1" applyAlignment="1" applyProtection="1">
      <alignment horizontal="center" vertical="center"/>
    </xf>
    <xf numFmtId="1" fontId="26" fillId="0" borderId="0" xfId="241" applyNumberFormat="1" applyFont="1" applyAlignment="1" applyProtection="1">
      <alignment vertical="center"/>
    </xf>
    <xf numFmtId="0" fontId="20" fillId="19" borderId="11" xfId="241" applyFont="1" applyFill="1" applyBorder="1" applyAlignment="1" applyProtection="1">
      <alignment horizontal="center"/>
      <protection locked="0"/>
    </xf>
    <xf numFmtId="0" fontId="29" fillId="0" borderId="112" xfId="241" applyFont="1" applyBorder="1" applyAlignment="1"/>
    <xf numFmtId="0" fontId="29" fillId="0" borderId="122" xfId="241" applyFont="1" applyBorder="1" applyAlignment="1"/>
    <xf numFmtId="0" fontId="29" fillId="0" borderId="0" xfId="241" applyFont="1" applyProtection="1"/>
    <xf numFmtId="0" fontId="10" fillId="0" borderId="0" xfId="241" applyFont="1" applyProtection="1"/>
    <xf numFmtId="0" fontId="20" fillId="0" borderId="0" xfId="241" applyFont="1" applyProtection="1"/>
    <xf numFmtId="0" fontId="20" fillId="0" borderId="0" xfId="241" applyFont="1" applyAlignment="1" applyProtection="1">
      <alignment horizontal="center"/>
    </xf>
    <xf numFmtId="0" fontId="20" fillId="0" borderId="3" xfId="241" applyFont="1" applyBorder="1" applyProtection="1"/>
    <xf numFmtId="0" fontId="20" fillId="0" borderId="3" xfId="241" applyFont="1" applyBorder="1" applyAlignment="1" applyProtection="1">
      <alignment horizontal="center"/>
    </xf>
    <xf numFmtId="0" fontId="20" fillId="0" borderId="0" xfId="241" applyFont="1" applyBorder="1" applyAlignment="1" applyProtection="1">
      <alignment horizontal="center"/>
    </xf>
    <xf numFmtId="0" fontId="20" fillId="0" borderId="0" xfId="241" applyFont="1" applyAlignment="1" applyProtection="1">
      <alignment horizontal="left" vertical="top" wrapText="1"/>
    </xf>
    <xf numFmtId="0" fontId="20" fillId="26" borderId="11" xfId="241" applyFont="1" applyFill="1" applyBorder="1" applyAlignment="1" applyProtection="1">
      <alignment horizontal="center"/>
      <protection locked="0"/>
    </xf>
    <xf numFmtId="0" fontId="20" fillId="0" borderId="0" xfId="241" applyFont="1" applyBorder="1" applyProtection="1"/>
    <xf numFmtId="0" fontId="5" fillId="0" borderId="0" xfId="241" applyFont="1" applyBorder="1" applyProtection="1"/>
    <xf numFmtId="0" fontId="5" fillId="0" borderId="0" xfId="241" applyFont="1" applyFill="1" applyBorder="1" applyAlignment="1" applyProtection="1">
      <alignment horizontal="center"/>
    </xf>
    <xf numFmtId="0" fontId="20" fillId="0" borderId="0" xfId="241" applyFont="1" applyFill="1" applyProtection="1"/>
    <xf numFmtId="0" fontId="20" fillId="0" borderId="0" xfId="241" applyFont="1" applyFill="1" applyAlignment="1" applyProtection="1">
      <alignment horizontal="center"/>
    </xf>
    <xf numFmtId="0" fontId="20" fillId="0" borderId="0" xfId="241" applyFont="1" applyBorder="1" applyAlignment="1" applyProtection="1">
      <alignment horizontal="left"/>
    </xf>
    <xf numFmtId="0" fontId="20" fillId="0" borderId="0" xfId="241" applyFont="1"/>
    <xf numFmtId="0" fontId="20" fillId="0" borderId="0" xfId="241" applyFont="1" applyAlignment="1">
      <alignment horizontal="right"/>
    </xf>
    <xf numFmtId="0" fontId="20" fillId="0" borderId="0" xfId="241" applyFont="1" applyFill="1" applyBorder="1" applyAlignment="1" applyProtection="1">
      <alignment horizontal="center"/>
    </xf>
    <xf numFmtId="0" fontId="20" fillId="0" borderId="0" xfId="241" quotePrefix="1" applyFont="1" applyBorder="1" applyProtection="1"/>
    <xf numFmtId="0" fontId="43" fillId="0" borderId="0" xfId="241" applyFont="1" applyBorder="1" applyProtection="1"/>
    <xf numFmtId="0" fontId="20" fillId="26" borderId="11" xfId="241" applyFont="1" applyFill="1" applyBorder="1" applyAlignment="1" applyProtection="1">
      <alignment horizontal="center"/>
    </xf>
    <xf numFmtId="0" fontId="43" fillId="0" borderId="0" xfId="241" applyFont="1" applyFill="1" applyBorder="1" applyProtection="1"/>
    <xf numFmtId="3" fontId="15" fillId="0" borderId="0" xfId="241" applyNumberFormat="1" applyFont="1" applyBorder="1" applyAlignment="1" applyProtection="1">
      <alignment horizontal="left"/>
    </xf>
    <xf numFmtId="10" fontId="20" fillId="0" borderId="0" xfId="241" applyNumberFormat="1" applyFont="1" applyFill="1" applyBorder="1" applyAlignment="1" applyProtection="1">
      <alignment horizontal="center"/>
    </xf>
    <xf numFmtId="0" fontId="20" fillId="0" borderId="89" xfId="241" applyFont="1" applyBorder="1" applyProtection="1"/>
    <xf numFmtId="0" fontId="20" fillId="0" borderId="89" xfId="241" applyFont="1" applyFill="1" applyBorder="1" applyProtection="1"/>
    <xf numFmtId="0" fontId="20" fillId="0" borderId="89" xfId="241" applyFont="1" applyFill="1" applyBorder="1" applyAlignment="1" applyProtection="1">
      <alignment horizontal="left"/>
    </xf>
    <xf numFmtId="16" fontId="20" fillId="0" borderId="89" xfId="241" applyNumberFormat="1" applyFont="1" applyFill="1" applyBorder="1" applyProtection="1"/>
    <xf numFmtId="0" fontId="20" fillId="0" borderId="89" xfId="241" applyFont="1" applyFill="1" applyBorder="1" applyAlignment="1" applyProtection="1">
      <alignment horizontal="center"/>
    </xf>
    <xf numFmtId="0" fontId="20" fillId="0" borderId="0" xfId="241" applyFont="1" applyFill="1" applyAlignment="1" applyProtection="1"/>
    <xf numFmtId="0" fontId="20" fillId="0" borderId="0" xfId="241" applyFont="1" applyFill="1" applyAlignment="1" applyProtection="1">
      <alignment horizontal="left"/>
    </xf>
    <xf numFmtId="0" fontId="20" fillId="0" borderId="0" xfId="241" applyFont="1" applyFill="1" applyBorder="1" applyAlignment="1" applyProtection="1">
      <alignment horizontal="left"/>
    </xf>
    <xf numFmtId="16" fontId="20" fillId="0" borderId="0" xfId="241" applyNumberFormat="1" applyFont="1" applyFill="1" applyProtection="1"/>
    <xf numFmtId="0" fontId="20" fillId="0" borderId="0" xfId="241" applyFont="1" applyFill="1" applyAlignment="1" applyProtection="1">
      <alignment horizontal="right"/>
    </xf>
    <xf numFmtId="5" fontId="20" fillId="0" borderId="11" xfId="241" applyNumberFormat="1" applyFont="1" applyFill="1" applyBorder="1" applyAlignment="1" applyProtection="1">
      <alignment horizontal="right" shrinkToFit="1"/>
    </xf>
    <xf numFmtId="1" fontId="20" fillId="0" borderId="11" xfId="241" applyNumberFormat="1" applyFont="1" applyFill="1" applyBorder="1" applyAlignment="1" applyProtection="1">
      <alignment horizontal="right" shrinkToFit="1"/>
    </xf>
    <xf numFmtId="5" fontId="20" fillId="0" borderId="11" xfId="57" applyNumberFormat="1" applyFont="1" applyFill="1" applyBorder="1" applyAlignment="1" applyProtection="1">
      <alignment horizontal="right" shrinkToFit="1"/>
    </xf>
    <xf numFmtId="0" fontId="20" fillId="0" borderId="0" xfId="241" applyFont="1" applyBorder="1" applyAlignment="1" applyProtection="1">
      <alignment vertical="top"/>
    </xf>
    <xf numFmtId="0" fontId="10" fillId="0" borderId="0" xfId="241" applyFont="1" applyAlignment="1" applyProtection="1">
      <alignment horizontal="right"/>
    </xf>
    <xf numFmtId="0" fontId="10" fillId="27" borderId="43" xfId="241" applyFont="1" applyFill="1" applyBorder="1" applyProtection="1"/>
    <xf numFmtId="0" fontId="10" fillId="0" borderId="43" xfId="241" applyFont="1" applyFill="1" applyBorder="1" applyProtection="1"/>
    <xf numFmtId="0" fontId="29" fillId="0" borderId="0" xfId="241" applyFont="1"/>
    <xf numFmtId="0" fontId="2" fillId="0" borderId="0" xfId="241" applyFont="1"/>
    <xf numFmtId="0" fontId="20" fillId="0" borderId="95" xfId="241" applyFont="1" applyFill="1" applyBorder="1" applyProtection="1"/>
    <xf numFmtId="0" fontId="20" fillId="0" borderId="89" xfId="241" applyFont="1" applyBorder="1" applyAlignment="1" applyProtection="1">
      <alignment horizontal="left"/>
    </xf>
    <xf numFmtId="0" fontId="20" fillId="0" borderId="0" xfId="241" applyFont="1" applyBorder="1" applyAlignment="1" applyProtection="1">
      <alignment horizontal="right"/>
    </xf>
    <xf numFmtId="0" fontId="14" fillId="0" borderId="0" xfId="241" applyFont="1" applyBorder="1" applyProtection="1"/>
    <xf numFmtId="0" fontId="14" fillId="0" borderId="3" xfId="241" applyFont="1" applyBorder="1" applyProtection="1"/>
    <xf numFmtId="0" fontId="14" fillId="0" borderId="0" xfId="241" applyFont="1" applyAlignment="1" applyProtection="1">
      <alignment horizontal="center"/>
    </xf>
    <xf numFmtId="0" fontId="14" fillId="0" borderId="0" xfId="241" applyFont="1" applyBorder="1" applyAlignment="1" applyProtection="1">
      <alignment horizontal="center"/>
    </xf>
    <xf numFmtId="0" fontId="14" fillId="0" borderId="3" xfId="241" applyFont="1" applyBorder="1" applyAlignment="1" applyProtection="1">
      <alignment horizontal="center"/>
    </xf>
    <xf numFmtId="0" fontId="3" fillId="0" borderId="0" xfId="241" applyFont="1" applyBorder="1" applyProtection="1"/>
    <xf numFmtId="0" fontId="14" fillId="0" borderId="0" xfId="241" applyFont="1" applyFill="1" applyAlignment="1" applyProtection="1">
      <alignment horizontal="center"/>
    </xf>
    <xf numFmtId="0" fontId="20" fillId="0" borderId="0" xfId="241" applyFont="1" applyAlignment="1" applyProtection="1">
      <alignment horizontal="right"/>
    </xf>
    <xf numFmtId="0" fontId="20" fillId="0" borderId="0" xfId="241" applyFont="1" applyBorder="1" applyAlignment="1" applyProtection="1"/>
    <xf numFmtId="0" fontId="20" fillId="0" borderId="0" xfId="241" applyFont="1" applyAlignment="1" applyProtection="1">
      <alignment horizontal="right" vertical="top"/>
    </xf>
    <xf numFmtId="0" fontId="20" fillId="0" borderId="89" xfId="241" applyFont="1" applyBorder="1" applyAlignment="1" applyProtection="1">
      <alignment horizontal="center"/>
    </xf>
    <xf numFmtId="0" fontId="15" fillId="0" borderId="0" xfId="241" applyFont="1" applyAlignment="1" applyProtection="1">
      <alignment horizontal="right"/>
    </xf>
    <xf numFmtId="0" fontId="29" fillId="0" borderId="0" xfId="241" applyFont="1" applyBorder="1" applyProtection="1"/>
    <xf numFmtId="0" fontId="20" fillId="0" borderId="57" xfId="241" applyFont="1" applyBorder="1" applyProtection="1"/>
    <xf numFmtId="0" fontId="9" fillId="20" borderId="44" xfId="241" applyFont="1" applyFill="1" applyBorder="1" applyProtection="1"/>
    <xf numFmtId="0" fontId="29" fillId="0" borderId="111" xfId="241" applyFont="1" applyBorder="1" applyAlignment="1"/>
    <xf numFmtId="0" fontId="29" fillId="0" borderId="112" xfId="241" applyFont="1" applyBorder="1" applyAlignment="1">
      <alignment horizontal="left"/>
    </xf>
    <xf numFmtId="0" fontId="2" fillId="0" borderId="122" xfId="241" applyBorder="1" applyAlignment="1">
      <alignment horizontal="left"/>
    </xf>
    <xf numFmtId="0" fontId="85" fillId="0" borderId="103" xfId="241" applyFont="1" applyBorder="1" applyAlignment="1" applyProtection="1">
      <alignment horizontal="left"/>
    </xf>
    <xf numFmtId="0" fontId="85" fillId="0" borderId="0" xfId="241" applyFont="1" applyFill="1" applyBorder="1" applyAlignment="1" applyProtection="1">
      <alignment horizontal="left"/>
    </xf>
    <xf numFmtId="0" fontId="2" fillId="0" borderId="0" xfId="241" applyBorder="1" applyAlignment="1">
      <alignment horizontal="left"/>
    </xf>
    <xf numFmtId="0" fontId="20" fillId="0" borderId="11" xfId="241" applyFont="1" applyFill="1" applyBorder="1" applyAlignment="1" applyProtection="1">
      <alignment horizontal="left"/>
      <protection locked="0"/>
    </xf>
    <xf numFmtId="0" fontId="10" fillId="0" borderId="42" xfId="241" applyFont="1" applyFill="1" applyBorder="1" applyAlignment="1" applyProtection="1">
      <alignment horizontal="left"/>
    </xf>
    <xf numFmtId="0" fontId="20" fillId="29" borderId="127" xfId="241" applyFont="1" applyFill="1" applyBorder="1" applyAlignment="1" applyProtection="1">
      <alignment horizontal="center"/>
      <protection locked="0"/>
    </xf>
    <xf numFmtId="0" fontId="20" fillId="33" borderId="11" xfId="241" applyFont="1" applyFill="1" applyBorder="1" applyAlignment="1" applyProtection="1">
      <alignment horizontal="center"/>
      <protection locked="0"/>
    </xf>
    <xf numFmtId="0" fontId="85" fillId="30" borderId="123" xfId="241" applyFont="1" applyFill="1" applyBorder="1" applyAlignment="1" applyProtection="1">
      <alignment horizontal="center"/>
    </xf>
    <xf numFmtId="0" fontId="85" fillId="30" borderId="41" xfId="241" applyFont="1" applyFill="1" applyBorder="1" applyAlignment="1" applyProtection="1">
      <alignment horizontal="center"/>
    </xf>
    <xf numFmtId="0" fontId="2" fillId="30" borderId="41" xfId="241" applyFill="1" applyBorder="1"/>
    <xf numFmtId="0" fontId="20" fillId="30" borderId="133" xfId="241" applyFont="1" applyFill="1" applyBorder="1" applyAlignment="1" applyProtection="1">
      <alignment horizontal="center"/>
      <protection locked="0"/>
    </xf>
    <xf numFmtId="0" fontId="20" fillId="30" borderId="134" xfId="241" applyFont="1" applyFill="1" applyBorder="1" applyAlignment="1" applyProtection="1">
      <alignment horizontal="center"/>
      <protection locked="0"/>
    </xf>
    <xf numFmtId="0" fontId="20" fillId="30" borderId="41" xfId="241" applyFont="1" applyFill="1" applyBorder="1" applyAlignment="1" applyProtection="1">
      <alignment horizontal="center"/>
      <protection locked="0"/>
    </xf>
    <xf numFmtId="0" fontId="20" fillId="30" borderId="135" xfId="241" applyFont="1" applyFill="1" applyBorder="1" applyAlignment="1" applyProtection="1">
      <alignment horizontal="center"/>
      <protection locked="0"/>
    </xf>
    <xf numFmtId="0" fontId="10" fillId="30" borderId="43" xfId="241" applyFont="1" applyFill="1" applyBorder="1" applyProtection="1"/>
    <xf numFmtId="0" fontId="20" fillId="30" borderId="136" xfId="241" applyFont="1" applyFill="1" applyBorder="1" applyAlignment="1" applyProtection="1">
      <alignment horizontal="center"/>
      <protection locked="0"/>
    </xf>
    <xf numFmtId="0" fontId="20" fillId="30" borderId="137" xfId="241" applyFont="1" applyFill="1" applyBorder="1" applyAlignment="1" applyProtection="1">
      <alignment horizontal="center"/>
      <protection locked="0"/>
    </xf>
    <xf numFmtId="0" fontId="86" fillId="0" borderId="138" xfId="241" applyFont="1" applyBorder="1" applyAlignment="1">
      <alignment horizontal="left"/>
    </xf>
    <xf numFmtId="0" fontId="86" fillId="0" borderId="139" xfId="241" applyFont="1" applyBorder="1" applyAlignment="1">
      <alignment horizontal="left"/>
    </xf>
    <xf numFmtId="0" fontId="2" fillId="0" borderId="139" xfId="241" applyBorder="1" applyAlignment="1">
      <alignment horizontal="left"/>
    </xf>
    <xf numFmtId="0" fontId="20" fillId="0" borderId="139" xfId="241" applyFont="1" applyBorder="1" applyAlignment="1" applyProtection="1">
      <alignment horizontal="left"/>
    </xf>
    <xf numFmtId="0" fontId="20" fillId="0" borderId="139" xfId="241" applyFont="1" applyFill="1" applyBorder="1" applyAlignment="1" applyProtection="1">
      <alignment horizontal="left"/>
    </xf>
    <xf numFmtId="0" fontId="20" fillId="0" borderId="140" xfId="241" applyFont="1" applyFill="1" applyBorder="1" applyAlignment="1" applyProtection="1">
      <alignment horizontal="left"/>
      <protection locked="0"/>
    </xf>
    <xf numFmtId="0" fontId="10" fillId="0" borderId="141" xfId="241" applyFont="1" applyFill="1" applyBorder="1" applyAlignment="1" applyProtection="1">
      <alignment horizontal="left"/>
    </xf>
    <xf numFmtId="0" fontId="85" fillId="29" borderId="102" xfId="241" applyFont="1" applyFill="1" applyBorder="1" applyAlignment="1" applyProtection="1">
      <alignment horizontal="center"/>
    </xf>
    <xf numFmtId="0" fontId="85" fillId="29" borderId="51" xfId="241" applyFont="1" applyFill="1" applyBorder="1" applyAlignment="1" applyProtection="1">
      <alignment horizontal="center"/>
    </xf>
    <xf numFmtId="0" fontId="2" fillId="29" borderId="51" xfId="241" applyFill="1" applyBorder="1"/>
    <xf numFmtId="0" fontId="20" fillId="29" borderId="51" xfId="241" applyFont="1" applyFill="1" applyBorder="1" applyProtection="1"/>
    <xf numFmtId="0" fontId="20" fillId="29" borderId="142" xfId="241" applyFont="1" applyFill="1" applyBorder="1" applyAlignment="1" applyProtection="1">
      <alignment horizontal="center"/>
      <protection locked="0"/>
    </xf>
    <xf numFmtId="0" fontId="20" fillId="29" borderId="51" xfId="241" applyFont="1" applyFill="1" applyBorder="1" applyAlignment="1" applyProtection="1">
      <alignment horizontal="center"/>
      <protection locked="0"/>
    </xf>
    <xf numFmtId="0" fontId="20" fillId="29" borderId="127" xfId="241" applyFont="1" applyFill="1" applyBorder="1" applyProtection="1"/>
    <xf numFmtId="0" fontId="10" fillId="29" borderId="78" xfId="241" applyFont="1" applyFill="1" applyBorder="1" applyProtection="1"/>
    <xf numFmtId="0" fontId="20" fillId="31" borderId="11" xfId="241" applyFont="1" applyFill="1" applyBorder="1" applyAlignment="1" applyProtection="1">
      <alignment horizontal="center"/>
      <protection locked="0"/>
    </xf>
    <xf numFmtId="0" fontId="85" fillId="31" borderId="103" xfId="241" applyFont="1" applyFill="1" applyBorder="1" applyAlignment="1" applyProtection="1">
      <alignment horizontal="center"/>
    </xf>
    <xf numFmtId="0" fontId="85" fillId="31" borderId="123" xfId="241" applyFont="1" applyFill="1" applyBorder="1" applyAlignment="1" applyProtection="1">
      <alignment horizontal="left"/>
    </xf>
    <xf numFmtId="0" fontId="85" fillId="31" borderId="0" xfId="241" applyFont="1" applyFill="1" applyBorder="1" applyAlignment="1" applyProtection="1">
      <alignment horizontal="center"/>
    </xf>
    <xf numFmtId="0" fontId="85" fillId="31" borderId="41" xfId="241" applyFont="1" applyFill="1" applyBorder="1" applyAlignment="1" applyProtection="1">
      <alignment horizontal="left"/>
    </xf>
    <xf numFmtId="0" fontId="2" fillId="31" borderId="0" xfId="241" applyFill="1" applyBorder="1"/>
    <xf numFmtId="0" fontId="2" fillId="31" borderId="41" xfId="241" applyFill="1" applyBorder="1" applyAlignment="1">
      <alignment horizontal="left"/>
    </xf>
    <xf numFmtId="0" fontId="20" fillId="31" borderId="41" xfId="241" applyFont="1" applyFill="1" applyBorder="1" applyAlignment="1" applyProtection="1">
      <alignment horizontal="left"/>
    </xf>
    <xf numFmtId="0" fontId="20" fillId="31" borderId="3" xfId="241" applyFont="1" applyFill="1" applyBorder="1" applyAlignment="1" applyProtection="1">
      <alignment horizontal="center"/>
      <protection locked="0"/>
    </xf>
    <xf numFmtId="0" fontId="20" fillId="31" borderId="0" xfId="241" applyFont="1" applyFill="1" applyBorder="1" applyAlignment="1" applyProtection="1">
      <alignment horizontal="center"/>
      <protection locked="0"/>
    </xf>
    <xf numFmtId="0" fontId="20" fillId="31" borderId="133" xfId="241" applyFont="1" applyFill="1" applyBorder="1" applyAlignment="1" applyProtection="1">
      <alignment horizontal="left"/>
      <protection locked="0"/>
    </xf>
    <xf numFmtId="0" fontId="10" fillId="31" borderId="42" xfId="241" applyFont="1" applyFill="1" applyBorder="1" applyProtection="1"/>
    <xf numFmtId="0" fontId="10" fillId="31" borderId="43" xfId="241" applyFont="1" applyFill="1" applyBorder="1" applyAlignment="1" applyProtection="1">
      <alignment horizontal="left"/>
    </xf>
    <xf numFmtId="0" fontId="20" fillId="31" borderId="57" xfId="241" applyFont="1" applyFill="1" applyBorder="1" applyAlignment="1" applyProtection="1">
      <alignment horizontal="center"/>
      <protection locked="0"/>
    </xf>
    <xf numFmtId="0" fontId="2" fillId="31" borderId="40" xfId="241" applyFill="1" applyBorder="1"/>
    <xf numFmtId="0" fontId="2" fillId="31" borderId="3" xfId="241" applyFill="1" applyBorder="1"/>
    <xf numFmtId="0" fontId="85" fillId="32" borderId="102" xfId="241" applyFont="1" applyFill="1" applyBorder="1"/>
    <xf numFmtId="0" fontId="85" fillId="32" borderId="103" xfId="241" applyFont="1" applyFill="1" applyBorder="1" applyAlignment="1" applyProtection="1">
      <alignment horizontal="left"/>
    </xf>
    <xf numFmtId="0" fontId="85" fillId="32" borderId="51" xfId="241" applyFont="1" applyFill="1" applyBorder="1"/>
    <xf numFmtId="0" fontId="85" fillId="32" borderId="0" xfId="241" applyFont="1" applyFill="1" applyBorder="1" applyAlignment="1" applyProtection="1">
      <alignment horizontal="left"/>
    </xf>
    <xf numFmtId="0" fontId="2" fillId="32" borderId="51" xfId="241" applyFill="1" applyBorder="1"/>
    <xf numFmtId="0" fontId="2" fillId="32" borderId="0" xfId="241" applyFill="1" applyBorder="1" applyAlignment="1">
      <alignment horizontal="left"/>
    </xf>
    <xf numFmtId="0" fontId="20" fillId="32" borderId="127" xfId="241" applyFont="1" applyFill="1" applyBorder="1" applyAlignment="1" applyProtection="1">
      <alignment horizontal="center"/>
      <protection locked="0"/>
    </xf>
    <xf numFmtId="0" fontId="20" fillId="32" borderId="0" xfId="241" applyFont="1" applyFill="1" applyBorder="1" applyAlignment="1" applyProtection="1">
      <alignment horizontal="left"/>
    </xf>
    <xf numFmtId="0" fontId="20" fillId="32" borderId="142" xfId="241" applyFont="1" applyFill="1" applyBorder="1" applyAlignment="1" applyProtection="1">
      <alignment horizontal="center"/>
      <protection locked="0"/>
    </xf>
    <xf numFmtId="0" fontId="20" fillId="32" borderId="51" xfId="241" applyFont="1" applyFill="1" applyBorder="1" applyAlignment="1" applyProtection="1">
      <alignment horizontal="center"/>
      <protection locked="0"/>
    </xf>
    <xf numFmtId="0" fontId="20" fillId="32" borderId="55" xfId="241" applyFont="1" applyFill="1" applyBorder="1" applyAlignment="1" applyProtection="1">
      <alignment horizontal="left"/>
      <protection locked="0"/>
    </xf>
    <xf numFmtId="0" fontId="10" fillId="32" borderId="78" xfId="241" applyFont="1" applyFill="1" applyBorder="1" applyProtection="1"/>
    <xf numFmtId="0" fontId="10" fillId="32" borderId="42" xfId="241" applyFont="1" applyFill="1" applyBorder="1" applyAlignment="1" applyProtection="1">
      <alignment horizontal="left"/>
    </xf>
    <xf numFmtId="0" fontId="20" fillId="32" borderId="143" xfId="241" applyFont="1" applyFill="1" applyBorder="1" applyAlignment="1" applyProtection="1">
      <alignment horizontal="center"/>
      <protection locked="0"/>
    </xf>
    <xf numFmtId="0" fontId="115" fillId="0" borderId="0" xfId="241" applyFont="1" applyFill="1" applyBorder="1" applyAlignment="1" applyProtection="1">
      <alignment horizontal="center"/>
    </xf>
    <xf numFmtId="0" fontId="20" fillId="0" borderId="0" xfId="241" applyFont="1" applyAlignment="1">
      <alignment horizontal="left"/>
    </xf>
    <xf numFmtId="0" fontId="20" fillId="32" borderId="0" xfId="241" applyFont="1" applyFill="1" applyBorder="1" applyAlignment="1" applyProtection="1">
      <alignment horizontal="left"/>
      <protection locked="0"/>
    </xf>
    <xf numFmtId="0" fontId="20" fillId="31" borderId="41" xfId="241" applyFont="1" applyFill="1" applyBorder="1" applyAlignment="1" applyProtection="1">
      <alignment horizontal="left"/>
      <protection locked="0"/>
    </xf>
    <xf numFmtId="0" fontId="20" fillId="0" borderId="0" xfId="241" applyFont="1" applyFill="1" applyBorder="1" applyAlignment="1" applyProtection="1">
      <alignment horizontal="left"/>
      <protection locked="0"/>
    </xf>
    <xf numFmtId="0" fontId="20" fillId="0" borderId="139" xfId="241" applyFont="1" applyFill="1" applyBorder="1" applyAlignment="1" applyProtection="1">
      <alignment horizontal="left"/>
      <protection locked="0"/>
    </xf>
    <xf numFmtId="0" fontId="20" fillId="0" borderId="0" xfId="241" applyFont="1" applyBorder="1" applyAlignment="1" applyProtection="1">
      <alignment wrapText="1"/>
    </xf>
    <xf numFmtId="0" fontId="20" fillId="34" borderId="11" xfId="241" applyFont="1" applyFill="1" applyBorder="1" applyAlignment="1" applyProtection="1">
      <alignment horizontal="center"/>
    </xf>
    <xf numFmtId="0" fontId="20" fillId="35" borderId="11" xfId="241" applyFont="1" applyFill="1" applyBorder="1" applyAlignment="1" applyProtection="1">
      <alignment horizontal="center"/>
    </xf>
    <xf numFmtId="0" fontId="2" fillId="30" borderId="41" xfId="241" applyFont="1" applyFill="1" applyBorder="1"/>
    <xf numFmtId="0" fontId="20" fillId="0" borderId="0" xfId="241" applyFont="1" applyBorder="1" applyAlignment="1" applyProtection="1">
      <alignment horizontal="left" vertical="top" wrapText="1"/>
    </xf>
    <xf numFmtId="0" fontId="20" fillId="0" borderId="0" xfId="241" applyFont="1" applyBorder="1" applyAlignment="1" applyProtection="1">
      <alignment horizontal="left" wrapText="1"/>
    </xf>
    <xf numFmtId="0" fontId="20" fillId="0" borderId="89" xfId="241" applyFont="1" applyFill="1" applyBorder="1" applyAlignment="1" applyProtection="1">
      <alignment horizontal="center"/>
      <protection locked="0"/>
    </xf>
    <xf numFmtId="0" fontId="36" fillId="0" borderId="0" xfId="0" applyFont="1" applyBorder="1" applyAlignment="1" applyProtection="1">
      <alignment horizontal="right"/>
    </xf>
    <xf numFmtId="0" fontId="4" fillId="21" borderId="11" xfId="0" applyFont="1" applyFill="1" applyBorder="1" applyAlignment="1" applyProtection="1">
      <alignment horizontal="left"/>
    </xf>
    <xf numFmtId="0" fontId="41" fillId="20" borderId="55" xfId="0" applyFont="1" applyFill="1" applyBorder="1" applyAlignment="1" applyProtection="1">
      <alignment horizontal="center" vertical="center"/>
    </xf>
    <xf numFmtId="0" fontId="41" fillId="20" borderId="57" xfId="0" applyFont="1" applyFill="1" applyBorder="1" applyAlignment="1" applyProtection="1">
      <alignment horizontal="center" vertical="center"/>
    </xf>
    <xf numFmtId="0" fontId="41" fillId="20" borderId="56" xfId="0" applyFont="1" applyFill="1" applyBorder="1" applyAlignment="1" applyProtection="1">
      <alignment horizontal="center" vertical="center"/>
    </xf>
    <xf numFmtId="0" fontId="53" fillId="21" borderId="55" xfId="0" applyFont="1" applyFill="1" applyBorder="1" applyAlignment="1" applyProtection="1">
      <alignment horizontal="center" vertical="center" wrapText="1"/>
    </xf>
    <xf numFmtId="0" fontId="6" fillId="21" borderId="57" xfId="0" applyFont="1" applyFill="1" applyBorder="1" applyAlignment="1" applyProtection="1">
      <alignment horizontal="center" vertical="center" wrapText="1"/>
    </xf>
    <xf numFmtId="0" fontId="6" fillId="21" borderId="56" xfId="0" applyFont="1" applyFill="1" applyBorder="1" applyAlignment="1" applyProtection="1">
      <alignment horizontal="center" vertical="center" wrapText="1"/>
    </xf>
    <xf numFmtId="0" fontId="84" fillId="0" borderId="0" xfId="0" applyFont="1" applyBorder="1" applyAlignment="1" applyProtection="1">
      <alignment horizontal="center"/>
    </xf>
    <xf numFmtId="0" fontId="5" fillId="0" borderId="55" xfId="0" applyFont="1" applyBorder="1" applyAlignment="1" applyProtection="1">
      <alignment horizontal="left"/>
    </xf>
    <xf numFmtId="0" fontId="5" fillId="0" borderId="57" xfId="0" applyFont="1" applyBorder="1" applyAlignment="1" applyProtection="1">
      <alignment horizontal="left"/>
    </xf>
    <xf numFmtId="0" fontId="5" fillId="0" borderId="56" xfId="0" applyFont="1" applyBorder="1" applyAlignment="1" applyProtection="1">
      <alignment horizontal="left"/>
    </xf>
    <xf numFmtId="1" fontId="20" fillId="19" borderId="55" xfId="0" applyNumberFormat="1" applyFont="1" applyFill="1" applyBorder="1" applyAlignment="1" applyProtection="1">
      <alignment horizontal="left"/>
      <protection locked="0"/>
    </xf>
    <xf numFmtId="1" fontId="20" fillId="19" borderId="57" xfId="0" applyNumberFormat="1" applyFont="1" applyFill="1" applyBorder="1" applyAlignment="1" applyProtection="1">
      <alignment horizontal="left"/>
      <protection locked="0"/>
    </xf>
    <xf numFmtId="1" fontId="20" fillId="19" borderId="56" xfId="0" applyNumberFormat="1" applyFont="1" applyFill="1" applyBorder="1" applyAlignment="1" applyProtection="1">
      <alignment horizontal="left"/>
      <protection locked="0"/>
    </xf>
    <xf numFmtId="0" fontId="5" fillId="0" borderId="107" xfId="0" applyFont="1" applyBorder="1" applyAlignment="1" applyProtection="1">
      <alignment horizontal="left"/>
    </xf>
    <xf numFmtId="0" fontId="5" fillId="0" borderId="3" xfId="0" applyFont="1" applyBorder="1" applyAlignment="1" applyProtection="1">
      <alignment horizontal="left"/>
    </xf>
    <xf numFmtId="0" fontId="5" fillId="0" borderId="53" xfId="0" applyFont="1" applyBorder="1" applyAlignment="1" applyProtection="1">
      <alignment horizontal="left"/>
    </xf>
    <xf numFmtId="0" fontId="20" fillId="19" borderId="107" xfId="0" applyFont="1" applyFill="1" applyBorder="1" applyAlignment="1" applyProtection="1">
      <alignment horizontal="left"/>
      <protection locked="0"/>
    </xf>
    <xf numFmtId="0" fontId="20" fillId="19" borderId="3" xfId="0" applyFont="1" applyFill="1" applyBorder="1" applyAlignment="1" applyProtection="1">
      <alignment horizontal="left"/>
      <protection locked="0"/>
    </xf>
    <xf numFmtId="0" fontId="20" fillId="19" borderId="53" xfId="0" applyFont="1" applyFill="1" applyBorder="1" applyAlignment="1" applyProtection="1">
      <alignment horizontal="left"/>
      <protection locked="0"/>
    </xf>
    <xf numFmtId="0" fontId="20" fillId="19" borderId="55" xfId="0" applyFont="1" applyFill="1" applyBorder="1" applyAlignment="1" applyProtection="1">
      <alignment horizontal="left"/>
      <protection locked="0"/>
    </xf>
    <xf numFmtId="0" fontId="20" fillId="19" borderId="57" xfId="0" applyFont="1" applyFill="1" applyBorder="1" applyAlignment="1" applyProtection="1">
      <alignment horizontal="left"/>
      <protection locked="0"/>
    </xf>
    <xf numFmtId="0" fontId="20" fillId="19" borderId="56" xfId="0" applyFont="1" applyFill="1" applyBorder="1" applyAlignment="1" applyProtection="1">
      <alignment horizontal="left"/>
      <protection locked="0"/>
    </xf>
    <xf numFmtId="167" fontId="29" fillId="19" borderId="55" xfId="0" applyNumberFormat="1" applyFont="1" applyFill="1" applyBorder="1" applyAlignment="1" applyProtection="1">
      <alignment horizontal="left"/>
      <protection locked="0"/>
    </xf>
    <xf numFmtId="167" fontId="29" fillId="19" borderId="57" xfId="0" applyNumberFormat="1" applyFont="1" applyFill="1" applyBorder="1" applyAlignment="1" applyProtection="1">
      <alignment horizontal="left"/>
      <protection locked="0"/>
    </xf>
    <xf numFmtId="167" fontId="29" fillId="19" borderId="56" xfId="0" applyNumberFormat="1" applyFont="1" applyFill="1" applyBorder="1" applyAlignment="1" applyProtection="1">
      <alignment horizontal="left"/>
      <protection locked="0"/>
    </xf>
    <xf numFmtId="0" fontId="10" fillId="0" borderId="55" xfId="0" applyFont="1" applyBorder="1" applyAlignment="1" applyProtection="1">
      <alignment horizontal="left"/>
    </xf>
    <xf numFmtId="0" fontId="10" fillId="0" borderId="57" xfId="0" applyFont="1" applyBorder="1" applyAlignment="1" applyProtection="1">
      <alignment horizontal="left"/>
    </xf>
    <xf numFmtId="0" fontId="10" fillId="0" borderId="56" xfId="0" applyFont="1" applyBorder="1" applyAlignment="1" applyProtection="1">
      <alignment horizontal="left"/>
    </xf>
    <xf numFmtId="0" fontId="23" fillId="19" borderId="55" xfId="75" applyFill="1" applyBorder="1" applyAlignment="1" applyProtection="1">
      <alignment horizontal="left"/>
      <protection locked="0"/>
    </xf>
    <xf numFmtId="14" fontId="20" fillId="19" borderId="55" xfId="0" applyNumberFormat="1" applyFont="1" applyFill="1" applyBorder="1" applyAlignment="1" applyProtection="1">
      <alignment horizontal="left"/>
      <protection locked="0"/>
    </xf>
    <xf numFmtId="14" fontId="20" fillId="19" borderId="57" xfId="0" applyNumberFormat="1" applyFont="1" applyFill="1" applyBorder="1" applyAlignment="1" applyProtection="1">
      <alignment horizontal="left"/>
      <protection locked="0"/>
    </xf>
    <xf numFmtId="14" fontId="20" fillId="19" borderId="56" xfId="0" applyNumberFormat="1" applyFont="1" applyFill="1" applyBorder="1" applyAlignment="1" applyProtection="1">
      <alignment horizontal="left"/>
      <protection locked="0"/>
    </xf>
    <xf numFmtId="178" fontId="20" fillId="19" borderId="55" xfId="0" applyNumberFormat="1" applyFont="1" applyFill="1" applyBorder="1" applyAlignment="1" applyProtection="1">
      <alignment horizontal="left"/>
      <protection locked="0"/>
    </xf>
    <xf numFmtId="178" fontId="20" fillId="19" borderId="57" xfId="0" applyNumberFormat="1" applyFont="1" applyFill="1" applyBorder="1" applyAlignment="1" applyProtection="1">
      <alignment horizontal="left"/>
      <protection locked="0"/>
    </xf>
    <xf numFmtId="178" fontId="20" fillId="19" borderId="56" xfId="0" applyNumberFormat="1" applyFont="1" applyFill="1" applyBorder="1" applyAlignment="1" applyProtection="1">
      <alignment horizontal="left"/>
      <protection locked="0"/>
    </xf>
    <xf numFmtId="0" fontId="20" fillId="19" borderId="55" xfId="0" applyFont="1" applyFill="1" applyBorder="1" applyAlignment="1" applyProtection="1">
      <protection locked="0"/>
    </xf>
    <xf numFmtId="0" fontId="20" fillId="19" borderId="57" xfId="0" applyFont="1" applyFill="1" applyBorder="1" applyAlignment="1" applyProtection="1">
      <protection locked="0"/>
    </xf>
    <xf numFmtId="0" fontId="20" fillId="19" borderId="56" xfId="0" applyFont="1" applyFill="1" applyBorder="1" applyAlignment="1" applyProtection="1">
      <protection locked="0"/>
    </xf>
    <xf numFmtId="0" fontId="10" fillId="0" borderId="144" xfId="0" applyFont="1" applyBorder="1" applyAlignment="1" applyProtection="1">
      <alignment horizontal="left"/>
    </xf>
    <xf numFmtId="0" fontId="10" fillId="0" borderId="145" xfId="0" applyFont="1" applyBorder="1" applyAlignment="1" applyProtection="1">
      <alignment horizontal="left"/>
    </xf>
    <xf numFmtId="0" fontId="10" fillId="0" borderId="146" xfId="0" applyFont="1" applyBorder="1" applyAlignment="1" applyProtection="1">
      <alignment horizontal="left"/>
    </xf>
    <xf numFmtId="14" fontId="20" fillId="0" borderId="107" xfId="0" applyNumberFormat="1" applyFont="1" applyFill="1" applyBorder="1" applyAlignment="1" applyProtection="1">
      <alignment horizontal="left"/>
    </xf>
    <xf numFmtId="0" fontId="20" fillId="0" borderId="3" xfId="0" applyFont="1" applyFill="1" applyBorder="1" applyAlignment="1" applyProtection="1">
      <alignment horizontal="left"/>
    </xf>
    <xf numFmtId="0" fontId="20" fillId="0" borderId="53" xfId="0" applyFont="1" applyFill="1" applyBorder="1" applyAlignment="1" applyProtection="1">
      <alignment horizontal="left"/>
    </xf>
    <xf numFmtId="0" fontId="5" fillId="19" borderId="55" xfId="0" applyFont="1" applyFill="1" applyBorder="1" applyAlignment="1" applyProtection="1">
      <alignment horizontal="left"/>
      <protection locked="0"/>
    </xf>
    <xf numFmtId="0" fontId="5" fillId="19" borderId="57" xfId="0" applyFont="1" applyFill="1" applyBorder="1" applyAlignment="1" applyProtection="1">
      <alignment horizontal="left"/>
      <protection locked="0"/>
    </xf>
    <xf numFmtId="0" fontId="5" fillId="19" borderId="56" xfId="0" applyFont="1" applyFill="1" applyBorder="1" applyAlignment="1" applyProtection="1">
      <alignment horizontal="left"/>
      <protection locked="0"/>
    </xf>
    <xf numFmtId="0" fontId="8" fillId="0" borderId="55" xfId="0" applyFont="1" applyBorder="1" applyAlignment="1" applyProtection="1">
      <alignment horizontal="left" wrapText="1"/>
    </xf>
    <xf numFmtId="0" fontId="8" fillId="0" borderId="57" xfId="0" applyFont="1" applyBorder="1" applyAlignment="1" applyProtection="1">
      <alignment horizontal="left" wrapText="1"/>
    </xf>
    <xf numFmtId="0" fontId="8" fillId="0" borderId="56" xfId="0" applyFont="1" applyBorder="1" applyAlignment="1" applyProtection="1">
      <alignment horizontal="left" wrapText="1"/>
    </xf>
    <xf numFmtId="0" fontId="8" fillId="0" borderId="107" xfId="0" applyFont="1" applyBorder="1" applyAlignment="1" applyProtection="1">
      <alignment horizontal="left" wrapText="1"/>
    </xf>
    <xf numFmtId="0" fontId="8" fillId="0" borderId="3" xfId="0" applyFont="1" applyBorder="1" applyAlignment="1" applyProtection="1">
      <alignment horizontal="left" wrapText="1"/>
    </xf>
    <xf numFmtId="0" fontId="8" fillId="0" borderId="53" xfId="0" applyFont="1" applyBorder="1" applyAlignment="1" applyProtection="1">
      <alignment horizontal="left" wrapText="1"/>
    </xf>
    <xf numFmtId="0" fontId="5" fillId="0" borderId="27" xfId="0" applyFont="1" applyBorder="1" applyAlignment="1" applyProtection="1">
      <alignment horizontal="left"/>
    </xf>
    <xf numFmtId="0" fontId="20" fillId="19" borderId="95" xfId="0" applyFont="1" applyFill="1" applyBorder="1" applyAlignment="1" applyProtection="1">
      <alignment horizontal="left"/>
      <protection locked="0"/>
    </xf>
    <xf numFmtId="0" fontId="20" fillId="19" borderId="89" xfId="0" applyFont="1" applyFill="1" applyBorder="1" applyAlignment="1" applyProtection="1">
      <alignment horizontal="left"/>
      <protection locked="0"/>
    </xf>
    <xf numFmtId="0" fontId="20" fillId="19" borderId="96" xfId="0" applyFont="1" applyFill="1" applyBorder="1" applyAlignment="1" applyProtection="1">
      <alignment horizontal="left"/>
      <protection locked="0"/>
    </xf>
    <xf numFmtId="1" fontId="20" fillId="0" borderId="55" xfId="0" applyNumberFormat="1" applyFont="1" applyFill="1" applyBorder="1" applyAlignment="1" applyProtection="1">
      <alignment horizontal="left"/>
    </xf>
    <xf numFmtId="1" fontId="20" fillId="0" borderId="57" xfId="0" applyNumberFormat="1" applyFont="1" applyFill="1" applyBorder="1" applyAlignment="1" applyProtection="1">
      <alignment horizontal="left"/>
    </xf>
    <xf numFmtId="1" fontId="20" fillId="0" borderId="56" xfId="0" applyNumberFormat="1" applyFont="1" applyFill="1" applyBorder="1" applyAlignment="1" applyProtection="1">
      <alignment horizontal="left"/>
    </xf>
    <xf numFmtId="0" fontId="5" fillId="0" borderId="55" xfId="0" applyFont="1" applyBorder="1" applyAlignment="1" applyProtection="1">
      <alignment horizontal="center" wrapText="1"/>
    </xf>
    <xf numFmtId="0" fontId="5" fillId="0" borderId="57" xfId="0" applyFont="1" applyBorder="1" applyAlignment="1" applyProtection="1">
      <alignment horizontal="center" wrapText="1"/>
    </xf>
    <xf numFmtId="0" fontId="5" fillId="0" borderId="56" xfId="0" applyFont="1" applyBorder="1" applyAlignment="1" applyProtection="1">
      <alignment horizontal="center" wrapText="1"/>
    </xf>
    <xf numFmtId="0" fontId="48" fillId="0" borderId="55" xfId="75" applyFont="1" applyBorder="1" applyAlignment="1" applyProtection="1">
      <alignment horizontal="left"/>
    </xf>
    <xf numFmtId="0" fontId="48" fillId="0" borderId="57" xfId="75" applyFont="1" applyBorder="1" applyAlignment="1" applyProtection="1">
      <alignment horizontal="left"/>
    </xf>
    <xf numFmtId="0" fontId="48" fillId="0" borderId="56" xfId="75" applyFont="1" applyBorder="1" applyAlignment="1" applyProtection="1">
      <alignment horizontal="left"/>
    </xf>
    <xf numFmtId="0" fontId="5" fillId="0" borderId="0" xfId="0" applyFont="1" applyAlignment="1">
      <alignment horizontal="left" wrapText="1"/>
    </xf>
    <xf numFmtId="0" fontId="4" fillId="20" borderId="44" xfId="0" applyFont="1" applyFill="1" applyBorder="1" applyAlignment="1" applyProtection="1">
      <alignment horizontal="left"/>
    </xf>
    <xf numFmtId="0" fontId="4" fillId="20" borderId="48" xfId="0" applyFont="1" applyFill="1" applyBorder="1" applyAlignment="1" applyProtection="1">
      <alignment horizontal="left"/>
    </xf>
    <xf numFmtId="0" fontId="4" fillId="20" borderId="45" xfId="0" applyFont="1" applyFill="1" applyBorder="1" applyAlignment="1" applyProtection="1">
      <alignment horizontal="left"/>
    </xf>
    <xf numFmtId="0" fontId="5" fillId="0" borderId="0" xfId="0" applyFont="1" applyAlignment="1">
      <alignment horizontal="center"/>
    </xf>
    <xf numFmtId="0" fontId="27" fillId="0" borderId="89" xfId="0" applyFont="1" applyBorder="1" applyAlignment="1" applyProtection="1">
      <alignment horizontal="center"/>
    </xf>
    <xf numFmtId="0" fontId="5" fillId="0" borderId="147" xfId="0" applyFont="1" applyBorder="1" applyAlignment="1" applyProtection="1">
      <alignment horizontal="center"/>
    </xf>
    <xf numFmtId="0" fontId="5" fillId="0" borderId="148" xfId="0" applyFont="1" applyBorder="1" applyAlignment="1" applyProtection="1">
      <alignment horizontal="center"/>
    </xf>
    <xf numFmtId="0" fontId="5" fillId="0" borderId="149" xfId="0" applyFont="1" applyBorder="1" applyAlignment="1" applyProtection="1">
      <alignment horizontal="center"/>
    </xf>
    <xf numFmtId="0" fontId="5" fillId="0" borderId="150" xfId="0" applyFont="1" applyBorder="1" applyAlignment="1" applyProtection="1">
      <alignment horizontal="center"/>
    </xf>
    <xf numFmtId="0" fontId="5" fillId="0" borderId="151" xfId="0" applyFont="1" applyBorder="1" applyAlignment="1" applyProtection="1">
      <alignment horizontal="center"/>
    </xf>
    <xf numFmtId="0" fontId="5" fillId="0" borderId="152" xfId="0" applyFont="1" applyBorder="1" applyAlignment="1" applyProtection="1">
      <alignment horizontal="center"/>
    </xf>
    <xf numFmtId="0" fontId="27" fillId="0" borderId="111" xfId="0" applyFont="1" applyBorder="1" applyAlignment="1" applyProtection="1">
      <alignment horizontal="center"/>
    </xf>
    <xf numFmtId="0" fontId="27" fillId="0" borderId="112" xfId="0" applyFont="1" applyBorder="1" applyAlignment="1" applyProtection="1">
      <alignment horizontal="center"/>
    </xf>
    <xf numFmtId="0" fontId="27" fillId="0" borderId="122" xfId="0" applyFont="1" applyBorder="1" applyAlignment="1" applyProtection="1">
      <alignment horizontal="center"/>
    </xf>
    <xf numFmtId="0" fontId="37" fillId="0" borderId="0" xfId="0" applyFont="1" applyAlignment="1" applyProtection="1">
      <alignment horizontal="left"/>
    </xf>
    <xf numFmtId="0" fontId="12" fillId="0" borderId="0" xfId="0" applyFont="1" applyBorder="1" applyAlignment="1">
      <alignment horizontal="center"/>
    </xf>
    <xf numFmtId="0" fontId="5" fillId="19" borderId="55" xfId="0" applyFont="1" applyFill="1" applyBorder="1" applyAlignment="1" applyProtection="1">
      <alignment horizontal="center"/>
      <protection locked="0"/>
    </xf>
    <xf numFmtId="0" fontId="5" fillId="19" borderId="56" xfId="0" applyFont="1" applyFill="1" applyBorder="1" applyAlignment="1" applyProtection="1">
      <alignment horizontal="center"/>
      <protection locked="0"/>
    </xf>
    <xf numFmtId="0" fontId="5" fillId="0" borderId="0" xfId="0" applyFont="1" applyBorder="1" applyAlignment="1">
      <alignment horizontal="right" wrapText="1"/>
    </xf>
    <xf numFmtId="0" fontId="5" fillId="0" borderId="27" xfId="0" applyFont="1" applyBorder="1" applyAlignment="1">
      <alignment horizontal="right" wrapText="1"/>
    </xf>
    <xf numFmtId="0" fontId="5" fillId="19" borderId="55" xfId="0" applyFont="1" applyFill="1" applyBorder="1" applyAlignment="1" applyProtection="1">
      <alignment horizontal="center"/>
    </xf>
    <xf numFmtId="0" fontId="5" fillId="19" borderId="57" xfId="0" applyFont="1" applyFill="1" applyBorder="1" applyAlignment="1" applyProtection="1">
      <alignment horizontal="center"/>
    </xf>
    <xf numFmtId="0" fontId="5" fillId="19" borderId="56" xfId="0" applyFont="1" applyFill="1" applyBorder="1" applyAlignment="1" applyProtection="1">
      <alignment horizontal="center"/>
    </xf>
    <xf numFmtId="0" fontId="5" fillId="0" borderId="0" xfId="0" applyFont="1" applyBorder="1" applyAlignment="1">
      <alignment horizontal="right"/>
    </xf>
    <xf numFmtId="0" fontId="5" fillId="0" borderId="27" xfId="0" applyFont="1" applyBorder="1" applyAlignment="1">
      <alignment horizontal="right"/>
    </xf>
    <xf numFmtId="0" fontId="15" fillId="19" borderId="55" xfId="0" applyFont="1" applyFill="1" applyBorder="1" applyAlignment="1" applyProtection="1">
      <alignment horizontal="center"/>
      <protection locked="0"/>
    </xf>
    <xf numFmtId="0" fontId="5" fillId="19" borderId="56" xfId="0" applyFont="1" applyFill="1" applyBorder="1" applyProtection="1">
      <protection locked="0"/>
    </xf>
    <xf numFmtId="0" fontId="5" fillId="0" borderId="89" xfId="0" applyFont="1" applyFill="1" applyBorder="1" applyAlignment="1">
      <alignment horizontal="center"/>
    </xf>
    <xf numFmtId="0" fontId="26" fillId="0" borderId="0" xfId="0" applyFont="1" applyAlignment="1" applyProtection="1">
      <alignment horizontal="left" wrapText="1"/>
    </xf>
    <xf numFmtId="0" fontId="109" fillId="0" borderId="21" xfId="0" applyFont="1" applyBorder="1" applyAlignment="1" applyProtection="1">
      <alignment horizontal="center" wrapText="1"/>
    </xf>
    <xf numFmtId="0" fontId="5" fillId="19" borderId="153" xfId="0" applyFont="1" applyFill="1" applyBorder="1" applyAlignment="1" applyProtection="1">
      <alignment horizontal="left"/>
      <protection locked="0"/>
    </xf>
    <xf numFmtId="0" fontId="5" fillId="19" borderId="154" xfId="0" applyFont="1" applyFill="1" applyBorder="1" applyAlignment="1" applyProtection="1">
      <alignment horizontal="left"/>
      <protection locked="0"/>
    </xf>
    <xf numFmtId="0" fontId="5" fillId="19" borderId="155" xfId="0" applyFont="1" applyFill="1" applyBorder="1" applyAlignment="1" applyProtection="1">
      <alignment horizontal="left"/>
      <protection locked="0"/>
    </xf>
    <xf numFmtId="0" fontId="5" fillId="0" borderId="153" xfId="0" applyFont="1" applyFill="1" applyBorder="1" applyAlignment="1" applyProtection="1">
      <alignment horizontal="left"/>
    </xf>
    <xf numFmtId="0" fontId="5" fillId="0" borderId="154" xfId="0" applyFont="1" applyFill="1" applyBorder="1" applyAlignment="1" applyProtection="1">
      <alignment horizontal="left"/>
    </xf>
    <xf numFmtId="0" fontId="5" fillId="0" borderId="155" xfId="0" applyFont="1" applyFill="1" applyBorder="1" applyAlignment="1" applyProtection="1">
      <alignment horizontal="left"/>
    </xf>
    <xf numFmtId="0" fontId="5" fillId="0" borderId="116" xfId="0" applyFont="1" applyFill="1" applyBorder="1" applyAlignment="1" applyProtection="1">
      <alignment horizontal="left"/>
    </xf>
    <xf numFmtId="0" fontId="5" fillId="0" borderId="57" xfId="0" applyFont="1" applyFill="1" applyBorder="1" applyAlignment="1" applyProtection="1">
      <alignment horizontal="left"/>
    </xf>
    <xf numFmtId="0" fontId="5" fillId="0" borderId="100" xfId="0" applyFont="1" applyFill="1" applyBorder="1" applyAlignment="1" applyProtection="1">
      <alignment horizontal="left"/>
    </xf>
    <xf numFmtId="0" fontId="10" fillId="0" borderId="20" xfId="91" applyFont="1" applyFill="1" applyBorder="1" applyAlignment="1" applyProtection="1">
      <alignment horizontal="left"/>
    </xf>
    <xf numFmtId="0" fontId="10" fillId="0" borderId="21" xfId="91" applyFont="1" applyFill="1" applyBorder="1" applyAlignment="1" applyProtection="1">
      <alignment horizontal="left"/>
    </xf>
    <xf numFmtId="0" fontId="10" fillId="0" borderId="22" xfId="91" applyFont="1" applyFill="1" applyBorder="1" applyAlignment="1" applyProtection="1">
      <alignment horizontal="left"/>
    </xf>
    <xf numFmtId="0" fontId="10" fillId="0" borderId="153" xfId="0" applyFont="1" applyFill="1" applyBorder="1" applyAlignment="1" applyProtection="1">
      <alignment horizontal="left"/>
      <protection locked="0"/>
    </xf>
    <xf numFmtId="0" fontId="10" fillId="0" borderId="154" xfId="0" applyFont="1" applyFill="1" applyBorder="1" applyAlignment="1" applyProtection="1">
      <alignment horizontal="left"/>
      <protection locked="0"/>
    </xf>
    <xf numFmtId="0" fontId="10" fillId="0" borderId="155" xfId="0" applyFont="1" applyFill="1" applyBorder="1" applyAlignment="1" applyProtection="1">
      <alignment horizontal="left"/>
      <protection locked="0"/>
    </xf>
    <xf numFmtId="0" fontId="5" fillId="19" borderId="116" xfId="0" applyFont="1" applyFill="1" applyBorder="1" applyAlignment="1" applyProtection="1">
      <alignment horizontal="left"/>
      <protection locked="0"/>
    </xf>
    <xf numFmtId="0" fontId="5" fillId="19" borderId="100" xfId="0" applyFont="1" applyFill="1" applyBorder="1" applyAlignment="1" applyProtection="1">
      <alignment horizontal="left"/>
      <protection locked="0"/>
    </xf>
    <xf numFmtId="0" fontId="12" fillId="19" borderId="116" xfId="0" applyFont="1" applyFill="1" applyBorder="1" applyAlignment="1" applyProtection="1">
      <alignment horizontal="left"/>
      <protection locked="0"/>
    </xf>
    <xf numFmtId="0" fontId="12" fillId="19" borderId="57" xfId="0" applyFont="1" applyFill="1" applyBorder="1" applyAlignment="1" applyProtection="1">
      <alignment horizontal="left"/>
      <protection locked="0"/>
    </xf>
    <xf numFmtId="0" fontId="12" fillId="19" borderId="100" xfId="0" applyFont="1" applyFill="1" applyBorder="1" applyAlignment="1" applyProtection="1">
      <alignment horizontal="left"/>
      <protection locked="0"/>
    </xf>
    <xf numFmtId="0" fontId="12" fillId="0" borderId="116" xfId="0" applyFont="1" applyFill="1" applyBorder="1" applyAlignment="1" applyProtection="1">
      <alignment horizontal="left"/>
    </xf>
    <xf numFmtId="0" fontId="12" fillId="0" borderId="57" xfId="0" applyFont="1" applyFill="1" applyBorder="1" applyAlignment="1" applyProtection="1">
      <alignment horizontal="left"/>
    </xf>
    <xf numFmtId="0" fontId="12" fillId="0" borderId="100" xfId="0" applyFont="1" applyFill="1" applyBorder="1" applyAlignment="1" applyProtection="1">
      <alignment horizontal="left"/>
    </xf>
    <xf numFmtId="0" fontId="5" fillId="0" borderId="156" xfId="0" applyFont="1" applyFill="1" applyBorder="1" applyAlignment="1" applyProtection="1">
      <alignment horizontal="left"/>
    </xf>
    <xf numFmtId="0" fontId="5" fillId="0" borderId="108" xfId="0" applyFont="1" applyFill="1" applyBorder="1" applyAlignment="1" applyProtection="1">
      <alignment horizontal="left"/>
    </xf>
    <xf numFmtId="0" fontId="5" fillId="0" borderId="110" xfId="0" applyFont="1" applyFill="1" applyBorder="1" applyAlignment="1" applyProtection="1">
      <alignment horizontal="left"/>
    </xf>
    <xf numFmtId="0" fontId="10" fillId="0" borderId="153" xfId="0" applyFont="1" applyFill="1" applyBorder="1" applyAlignment="1" applyProtection="1">
      <alignment horizontal="left"/>
    </xf>
    <xf numFmtId="0" fontId="10" fillId="0" borderId="154" xfId="0" applyFont="1" applyFill="1" applyBorder="1" applyAlignment="1" applyProtection="1">
      <alignment horizontal="left"/>
    </xf>
    <xf numFmtId="0" fontId="10" fillId="0" borderId="155" xfId="0" applyFont="1" applyFill="1" applyBorder="1" applyAlignment="1" applyProtection="1">
      <alignment horizontal="left"/>
    </xf>
    <xf numFmtId="0" fontId="5" fillId="0" borderId="157" xfId="0" applyFont="1" applyFill="1" applyBorder="1" applyAlignment="1" applyProtection="1">
      <alignment horizontal="left"/>
    </xf>
    <xf numFmtId="0" fontId="5" fillId="0" borderId="112" xfId="0" applyFont="1" applyFill="1" applyBorder="1" applyAlignment="1" applyProtection="1">
      <alignment horizontal="left"/>
    </xf>
    <xf numFmtId="0" fontId="5" fillId="0" borderId="158" xfId="0" applyFont="1" applyFill="1" applyBorder="1" applyAlignment="1" applyProtection="1">
      <alignment horizontal="left"/>
    </xf>
    <xf numFmtId="0" fontId="39" fillId="0" borderId="145" xfId="90" applyFont="1" applyBorder="1" applyAlignment="1" applyProtection="1">
      <alignment horizontal="center"/>
    </xf>
    <xf numFmtId="0" fontId="10" fillId="20" borderId="159" xfId="0" applyFont="1" applyFill="1" applyBorder="1" applyAlignment="1" applyProtection="1">
      <alignment horizontal="center"/>
    </xf>
    <xf numFmtId="0" fontId="10" fillId="20" borderId="160" xfId="0" applyFont="1" applyFill="1" applyBorder="1" applyAlignment="1" applyProtection="1">
      <alignment horizontal="center"/>
    </xf>
    <xf numFmtId="0" fontId="10" fillId="20" borderId="161" xfId="0" applyFont="1" applyFill="1" applyBorder="1" applyAlignment="1" applyProtection="1">
      <alignment horizontal="center"/>
    </xf>
    <xf numFmtId="0" fontId="10" fillId="0" borderId="14" xfId="0" applyFont="1" applyBorder="1" applyAlignment="1" applyProtection="1">
      <alignment horizontal="center"/>
    </xf>
    <xf numFmtId="0" fontId="10" fillId="0" borderId="0" xfId="0" applyFont="1" applyBorder="1" applyAlignment="1" applyProtection="1">
      <alignment horizontal="center"/>
    </xf>
    <xf numFmtId="0" fontId="10" fillId="0" borderId="18" xfId="0" applyFont="1" applyBorder="1" applyAlignment="1" applyProtection="1">
      <alignment horizontal="center"/>
    </xf>
    <xf numFmtId="0" fontId="10" fillId="0" borderId="116" xfId="0" applyFont="1" applyBorder="1" applyAlignment="1" applyProtection="1">
      <alignment horizontal="center"/>
    </xf>
    <xf numFmtId="0" fontId="10" fillId="0" borderId="57" xfId="0" applyFont="1" applyBorder="1" applyAlignment="1" applyProtection="1">
      <alignment horizontal="center"/>
    </xf>
    <xf numFmtId="0" fontId="10" fillId="0" borderId="100" xfId="0" applyFont="1" applyBorder="1" applyAlignment="1" applyProtection="1">
      <alignment horizontal="center"/>
    </xf>
    <xf numFmtId="0" fontId="10" fillId="0" borderId="16" xfId="0" applyFont="1" applyBorder="1" applyAlignment="1" applyProtection="1">
      <alignment horizontal="center"/>
    </xf>
    <xf numFmtId="0" fontId="10" fillId="0" borderId="3" xfId="0" applyFont="1" applyBorder="1" applyAlignment="1" applyProtection="1">
      <alignment horizontal="center"/>
    </xf>
    <xf numFmtId="0" fontId="10" fillId="0" borderId="19" xfId="0" applyFont="1" applyBorder="1" applyAlignment="1" applyProtection="1">
      <alignment horizontal="center"/>
    </xf>
    <xf numFmtId="0" fontId="10" fillId="0" borderId="162" xfId="0" applyFont="1" applyBorder="1" applyAlignment="1" applyProtection="1">
      <alignment horizontal="center"/>
    </xf>
    <xf numFmtId="0" fontId="10" fillId="0" borderId="163" xfId="0" applyFont="1" applyBorder="1" applyAlignment="1" applyProtection="1">
      <alignment horizontal="center"/>
    </xf>
    <xf numFmtId="0" fontId="10" fillId="0" borderId="164" xfId="0" applyFont="1" applyBorder="1" applyAlignment="1" applyProtection="1">
      <alignment horizontal="center"/>
    </xf>
    <xf numFmtId="0" fontId="10" fillId="0" borderId="165" xfId="0" applyFont="1" applyBorder="1" applyAlignment="1" applyProtection="1">
      <alignment horizontal="center"/>
    </xf>
    <xf numFmtId="0" fontId="10" fillId="0" borderId="166" xfId="0" applyFont="1" applyBorder="1" applyAlignment="1" applyProtection="1">
      <alignment horizontal="center"/>
    </xf>
    <xf numFmtId="0" fontId="10" fillId="0" borderId="167" xfId="0" applyFont="1" applyBorder="1" applyAlignment="1" applyProtection="1">
      <alignment horizontal="center"/>
    </xf>
    <xf numFmtId="0" fontId="11" fillId="0" borderId="0" xfId="0" applyFont="1" applyAlignment="1" applyProtection="1">
      <alignment horizontal="center"/>
    </xf>
    <xf numFmtId="0" fontId="5" fillId="19" borderId="11" xfId="0" applyFont="1" applyFill="1" applyBorder="1" applyAlignment="1" applyProtection="1">
      <alignment horizontal="left"/>
      <protection locked="0"/>
    </xf>
    <xf numFmtId="171" fontId="5" fillId="21" borderId="55" xfId="57" applyNumberFormat="1" applyFont="1" applyFill="1" applyBorder="1" applyAlignment="1" applyProtection="1">
      <alignment horizontal="center"/>
    </xf>
    <xf numFmtId="171" fontId="5" fillId="21" borderId="56" xfId="57" applyNumberFormat="1" applyFont="1" applyFill="1" applyBorder="1" applyAlignment="1" applyProtection="1">
      <alignment horizontal="center"/>
    </xf>
    <xf numFmtId="171" fontId="5" fillId="19" borderId="11" xfId="57" applyNumberFormat="1" applyFont="1" applyFill="1" applyBorder="1" applyAlignment="1" applyProtection="1">
      <alignment horizontal="right"/>
      <protection locked="0"/>
    </xf>
    <xf numFmtId="166" fontId="5" fillId="19" borderId="11" xfId="0" applyNumberFormat="1" applyFont="1" applyFill="1" applyBorder="1" applyAlignment="1" applyProtection="1">
      <alignment horizontal="center"/>
      <protection locked="0"/>
    </xf>
    <xf numFmtId="0" fontId="5" fillId="19" borderId="11" xfId="0" applyFont="1" applyFill="1" applyBorder="1" applyAlignment="1" applyProtection="1">
      <alignment horizontal="center"/>
      <protection locked="0"/>
    </xf>
    <xf numFmtId="10" fontId="5" fillId="19" borderId="55" xfId="96" applyNumberFormat="1" applyFont="1" applyFill="1" applyBorder="1" applyAlignment="1" applyProtection="1">
      <alignment horizontal="center"/>
      <protection locked="0"/>
    </xf>
    <xf numFmtId="10" fontId="5" fillId="19" borderId="56" xfId="96" applyNumberFormat="1" applyFont="1" applyFill="1" applyBorder="1" applyAlignment="1" applyProtection="1">
      <alignment horizontal="center"/>
      <protection locked="0"/>
    </xf>
    <xf numFmtId="0" fontId="5" fillId="19" borderId="11" xfId="0" applyFont="1" applyFill="1" applyBorder="1" applyAlignment="1" applyProtection="1">
      <alignment vertical="top"/>
      <protection locked="0"/>
    </xf>
    <xf numFmtId="0" fontId="5" fillId="19" borderId="11" xfId="0" applyFont="1" applyFill="1" applyBorder="1" applyAlignment="1" applyProtection="1">
      <protection locked="0"/>
    </xf>
    <xf numFmtId="0" fontId="5" fillId="0" borderId="91" xfId="0" applyFont="1" applyBorder="1" applyAlignment="1" applyProtection="1">
      <alignment horizontal="center"/>
    </xf>
    <xf numFmtId="0" fontId="5" fillId="0" borderId="11" xfId="0" applyFont="1" applyBorder="1" applyAlignment="1" applyProtection="1">
      <alignment horizontal="center"/>
    </xf>
    <xf numFmtId="0" fontId="5" fillId="0" borderId="55" xfId="0" applyFont="1" applyBorder="1" applyAlignment="1" applyProtection="1">
      <alignment horizontal="center"/>
    </xf>
    <xf numFmtId="0" fontId="5" fillId="0" borderId="57" xfId="0" applyFont="1" applyBorder="1" applyAlignment="1" applyProtection="1">
      <alignment horizontal="center"/>
    </xf>
    <xf numFmtId="0" fontId="5" fillId="0" borderId="56" xfId="0" applyFont="1" applyBorder="1" applyAlignment="1" applyProtection="1">
      <alignment horizontal="center"/>
    </xf>
    <xf numFmtId="0" fontId="5" fillId="0" borderId="0" xfId="0" applyFont="1" applyFill="1" applyAlignment="1" applyProtection="1">
      <alignment horizontal="left" wrapText="1"/>
    </xf>
    <xf numFmtId="0" fontId="52" fillId="0" borderId="0" xfId="0" applyFont="1" applyFill="1" applyAlignment="1" applyProtection="1">
      <alignment horizontal="center"/>
    </xf>
    <xf numFmtId="41" fontId="20" fillId="19" borderId="11" xfId="0" applyNumberFormat="1" applyFont="1" applyFill="1" applyBorder="1" applyAlignment="1" applyProtection="1">
      <alignment horizontal="center"/>
      <protection locked="0"/>
    </xf>
    <xf numFmtId="0" fontId="5" fillId="0" borderId="3" xfId="0" applyFont="1" applyFill="1" applyBorder="1" applyAlignment="1" applyProtection="1">
      <alignment horizontal="center"/>
    </xf>
    <xf numFmtId="0" fontId="5" fillId="0" borderId="89" xfId="0" applyFont="1" applyFill="1" applyBorder="1" applyAlignment="1" applyProtection="1">
      <alignment horizontal="center"/>
    </xf>
    <xf numFmtId="0" fontId="9" fillId="20" borderId="44" xfId="0" applyFont="1" applyFill="1" applyBorder="1" applyAlignment="1" applyProtection="1">
      <alignment horizontal="center"/>
    </xf>
    <xf numFmtId="0" fontId="9" fillId="20" borderId="48" xfId="0" applyFont="1" applyFill="1" applyBorder="1" applyAlignment="1" applyProtection="1">
      <alignment horizontal="center"/>
    </xf>
    <xf numFmtId="0" fontId="9" fillId="20" borderId="45" xfId="0" applyFont="1" applyFill="1" applyBorder="1" applyAlignment="1" applyProtection="1">
      <alignment horizontal="center"/>
    </xf>
    <xf numFmtId="0" fontId="5" fillId="0" borderId="55" xfId="0" applyFont="1" applyFill="1" applyBorder="1" applyAlignment="1" applyProtection="1">
      <alignment horizontal="left" wrapText="1"/>
    </xf>
    <xf numFmtId="0" fontId="5" fillId="0" borderId="56" xfId="0" applyFont="1" applyFill="1" applyBorder="1" applyAlignment="1" applyProtection="1">
      <alignment horizontal="left" wrapText="1"/>
    </xf>
    <xf numFmtId="0" fontId="5" fillId="19" borderId="11" xfId="0" applyFont="1" applyFill="1" applyBorder="1" applyAlignment="1" applyProtection="1">
      <alignment horizontal="left" wrapText="1"/>
      <protection locked="0"/>
    </xf>
    <xf numFmtId="0" fontId="5" fillId="0" borderId="0" xfId="0" applyFont="1" applyFill="1" applyAlignment="1" applyProtection="1">
      <alignment horizontal="left" vertical="top" wrapText="1"/>
    </xf>
    <xf numFmtId="0" fontId="5" fillId="0" borderId="55" xfId="0" applyFont="1" applyFill="1" applyBorder="1" applyAlignment="1" applyProtection="1">
      <alignment horizontal="left"/>
    </xf>
    <xf numFmtId="0" fontId="5" fillId="0" borderId="56" xfId="0" applyFont="1" applyFill="1" applyBorder="1" applyAlignment="1" applyProtection="1">
      <alignment horizontal="left"/>
    </xf>
    <xf numFmtId="0" fontId="5" fillId="0" borderId="11" xfId="0" applyFont="1" applyFill="1" applyBorder="1" applyAlignment="1" applyProtection="1">
      <alignment horizontal="left"/>
    </xf>
    <xf numFmtId="166" fontId="5" fillId="0" borderId="55" xfId="0" applyNumberFormat="1" applyFont="1" applyFill="1" applyBorder="1" applyAlignment="1" applyProtection="1">
      <alignment horizontal="left"/>
    </xf>
    <xf numFmtId="166" fontId="5" fillId="0" borderId="56" xfId="0" applyNumberFormat="1" applyFont="1" applyFill="1" applyBorder="1" applyAlignment="1" applyProtection="1">
      <alignment horizontal="left"/>
    </xf>
    <xf numFmtId="41" fontId="5" fillId="19" borderId="11" xfId="0" applyNumberFormat="1" applyFont="1" applyFill="1" applyBorder="1" applyAlignment="1" applyProtection="1">
      <alignment horizontal="center"/>
      <protection locked="0"/>
    </xf>
    <xf numFmtId="0" fontId="10" fillId="20" borderId="55" xfId="91" applyFont="1" applyFill="1" applyBorder="1" applyAlignment="1" applyProtection="1">
      <alignment horizontal="center"/>
    </xf>
    <xf numFmtId="0" fontId="10" fillId="20" borderId="57" xfId="91" applyFont="1" applyFill="1" applyBorder="1" applyAlignment="1" applyProtection="1">
      <alignment horizontal="center"/>
    </xf>
    <xf numFmtId="0" fontId="10" fillId="20" borderId="56" xfId="91" applyFont="1" applyFill="1" applyBorder="1" applyAlignment="1" applyProtection="1">
      <alignment horizontal="center"/>
    </xf>
    <xf numFmtId="6" fontId="20" fillId="19" borderId="11" xfId="0" applyNumberFormat="1" applyFont="1" applyFill="1" applyBorder="1" applyAlignment="1" applyProtection="1">
      <alignment horizontal="center"/>
      <protection locked="0"/>
    </xf>
    <xf numFmtId="0" fontId="20" fillId="19" borderId="11" xfId="0" applyFont="1" applyFill="1" applyBorder="1" applyAlignment="1" applyProtection="1">
      <alignment horizontal="center"/>
      <protection locked="0"/>
    </xf>
    <xf numFmtId="10" fontId="20" fillId="0" borderId="11" xfId="0" applyNumberFormat="1" applyFont="1" applyBorder="1" applyAlignment="1" applyProtection="1">
      <alignment horizontal="center"/>
    </xf>
    <xf numFmtId="6" fontId="20" fillId="0" borderId="11" xfId="0" applyNumberFormat="1" applyFont="1" applyBorder="1" applyAlignment="1" applyProtection="1">
      <alignment horizontal="center"/>
    </xf>
    <xf numFmtId="0" fontId="20" fillId="0" borderId="11" xfId="0" applyFont="1" applyBorder="1" applyAlignment="1" applyProtection="1">
      <alignment horizontal="center"/>
    </xf>
    <xf numFmtId="40" fontId="20" fillId="0" borderId="14" xfId="0" applyNumberFormat="1" applyFont="1" applyBorder="1" applyAlignment="1">
      <alignment horizontal="center"/>
    </xf>
    <xf numFmtId="40" fontId="20" fillId="0" borderId="18" xfId="0" applyNumberFormat="1" applyFont="1" applyBorder="1" applyAlignment="1">
      <alignment horizontal="center"/>
    </xf>
    <xf numFmtId="38" fontId="20" fillId="0" borderId="14" xfId="0" applyNumberFormat="1" applyFont="1" applyBorder="1" applyAlignment="1">
      <alignment horizontal="center"/>
    </xf>
    <xf numFmtId="38" fontId="20" fillId="0" borderId="18" xfId="0" applyNumberFormat="1" applyFont="1" applyBorder="1" applyAlignment="1">
      <alignment horizontal="center"/>
    </xf>
    <xf numFmtId="6" fontId="20" fillId="0" borderId="14" xfId="0" applyNumberFormat="1" applyFont="1" applyBorder="1" applyAlignment="1">
      <alignment horizontal="center"/>
    </xf>
    <xf numFmtId="6" fontId="20" fillId="0" borderId="18" xfId="0" applyNumberFormat="1" applyFont="1" applyBorder="1" applyAlignment="1">
      <alignment horizontal="center"/>
    </xf>
    <xf numFmtId="9" fontId="20" fillId="0" borderId="14" xfId="0" applyNumberFormat="1" applyFont="1" applyBorder="1" applyAlignment="1">
      <alignment horizontal="center"/>
    </xf>
    <xf numFmtId="9" fontId="20" fillId="0" borderId="18" xfId="0" applyNumberFormat="1" applyFont="1" applyBorder="1" applyAlignment="1">
      <alignment horizontal="center"/>
    </xf>
    <xf numFmtId="6" fontId="29" fillId="20" borderId="44" xfId="0" applyNumberFormat="1" applyFont="1" applyFill="1" applyBorder="1" applyAlignment="1">
      <alignment horizontal="center"/>
    </xf>
    <xf numFmtId="6" fontId="29" fillId="20" borderId="45" xfId="0" applyNumberFormat="1" applyFont="1" applyFill="1" applyBorder="1" applyAlignment="1">
      <alignment horizontal="center"/>
    </xf>
    <xf numFmtId="3" fontId="5" fillId="19" borderId="55" xfId="0" applyNumberFormat="1" applyFont="1" applyFill="1" applyBorder="1" applyAlignment="1" applyProtection="1">
      <alignment horizontal="left"/>
      <protection locked="0"/>
    </xf>
    <xf numFmtId="3" fontId="5" fillId="19" borderId="57" xfId="0" applyNumberFormat="1" applyFont="1" applyFill="1" applyBorder="1" applyAlignment="1" applyProtection="1">
      <alignment horizontal="left"/>
      <protection locked="0"/>
    </xf>
    <xf numFmtId="3" fontId="5" fillId="19" borderId="56" xfId="0" applyNumberFormat="1" applyFont="1" applyFill="1" applyBorder="1" applyAlignment="1" applyProtection="1">
      <alignment horizontal="left"/>
      <protection locked="0"/>
    </xf>
    <xf numFmtId="169" fontId="5" fillId="0" borderId="55" xfId="0" applyNumberFormat="1" applyFont="1" applyBorder="1" applyAlignment="1" applyProtection="1">
      <alignment horizontal="left"/>
    </xf>
    <xf numFmtId="169" fontId="5" fillId="0" borderId="57" xfId="0" applyNumberFormat="1" applyFont="1" applyBorder="1" applyAlignment="1" applyProtection="1">
      <alignment horizontal="left"/>
    </xf>
    <xf numFmtId="169" fontId="5" fillId="0" borderId="56" xfId="0" applyNumberFormat="1" applyFont="1" applyBorder="1" applyAlignment="1" applyProtection="1">
      <alignment horizontal="left"/>
    </xf>
    <xf numFmtId="8" fontId="5" fillId="19" borderId="55" xfId="0" applyNumberFormat="1" applyFont="1" applyFill="1" applyBorder="1" applyAlignment="1" applyProtection="1">
      <alignment horizontal="left"/>
      <protection locked="0"/>
    </xf>
    <xf numFmtId="8" fontId="5" fillId="19" borderId="57" xfId="0" applyNumberFormat="1" applyFont="1" applyFill="1" applyBorder="1" applyAlignment="1" applyProtection="1">
      <alignment horizontal="left"/>
      <protection locked="0"/>
    </xf>
    <xf numFmtId="8" fontId="5" fillId="19" borderId="56" xfId="0" applyNumberFormat="1" applyFont="1" applyFill="1" applyBorder="1" applyAlignment="1" applyProtection="1">
      <alignment horizontal="left"/>
      <protection locked="0"/>
    </xf>
    <xf numFmtId="3" fontId="5" fillId="0" borderId="55" xfId="0" applyNumberFormat="1" applyFont="1" applyBorder="1" applyAlignment="1" applyProtection="1">
      <alignment horizontal="left"/>
    </xf>
    <xf numFmtId="3" fontId="5" fillId="0" borderId="57" xfId="0" applyNumberFormat="1" applyFont="1" applyBorder="1" applyAlignment="1" applyProtection="1">
      <alignment horizontal="left"/>
    </xf>
    <xf numFmtId="3" fontId="5" fillId="0" borderId="56" xfId="0" applyNumberFormat="1" applyFont="1" applyBorder="1" applyAlignment="1" applyProtection="1">
      <alignment horizontal="left"/>
    </xf>
    <xf numFmtId="3" fontId="5" fillId="21" borderId="55" xfId="0" applyNumberFormat="1" applyFont="1" applyFill="1" applyBorder="1" applyAlignment="1" applyProtection="1">
      <alignment horizontal="left"/>
    </xf>
    <xf numFmtId="3" fontId="5" fillId="21" borderId="57" xfId="0" applyNumberFormat="1" applyFont="1" applyFill="1" applyBorder="1" applyAlignment="1" applyProtection="1">
      <alignment horizontal="left"/>
    </xf>
    <xf numFmtId="3" fontId="5" fillId="21" borderId="56" xfId="0" applyNumberFormat="1" applyFont="1" applyFill="1" applyBorder="1" applyAlignment="1" applyProtection="1">
      <alignment horizontal="left"/>
    </xf>
    <xf numFmtId="0" fontId="10" fillId="20" borderId="44" xfId="0" applyFont="1" applyFill="1" applyBorder="1" applyAlignment="1" applyProtection="1">
      <alignment horizontal="left"/>
    </xf>
    <xf numFmtId="0" fontId="10" fillId="20" borderId="48" xfId="0" applyFont="1" applyFill="1" applyBorder="1" applyAlignment="1" applyProtection="1">
      <alignment horizontal="left"/>
    </xf>
    <xf numFmtId="0" fontId="10" fillId="20" borderId="45" xfId="0" applyFont="1" applyFill="1" applyBorder="1" applyAlignment="1" applyProtection="1">
      <alignment horizontal="left"/>
    </xf>
    <xf numFmtId="49" fontId="20" fillId="19" borderId="3" xfId="87" applyNumberFormat="1" applyFont="1" applyFill="1" applyBorder="1" applyAlignment="1" applyProtection="1">
      <alignment horizontal="center" vertical="top" wrapText="1"/>
      <protection locked="0"/>
    </xf>
    <xf numFmtId="49" fontId="20" fillId="19" borderId="3" xfId="87" applyNumberFormat="1" applyFont="1" applyFill="1" applyBorder="1" applyAlignment="1" applyProtection="1">
      <alignment horizontal="left" vertical="top" wrapText="1"/>
      <protection locked="0"/>
    </xf>
    <xf numFmtId="49" fontId="20" fillId="19" borderId="57" xfId="87" applyNumberFormat="1" applyFont="1" applyFill="1" applyBorder="1" applyAlignment="1" applyProtection="1">
      <alignment horizontal="left" vertical="top" wrapText="1"/>
      <protection locked="0"/>
    </xf>
    <xf numFmtId="0" fontId="5" fillId="0" borderId="0" xfId="87" applyFont="1" applyAlignment="1" applyProtection="1">
      <alignment wrapText="1"/>
      <protection locked="0"/>
    </xf>
    <xf numFmtId="0" fontId="63" fillId="0" borderId="0" xfId="87" applyAlignment="1" applyProtection="1">
      <alignment wrapText="1"/>
      <protection locked="0"/>
    </xf>
    <xf numFmtId="0" fontId="5" fillId="0" borderId="0" xfId="87" applyFont="1" applyAlignment="1" applyProtection="1">
      <alignment wrapText="1"/>
    </xf>
    <xf numFmtId="0" fontId="63" fillId="0" borderId="0" xfId="87" applyAlignment="1">
      <alignment wrapText="1"/>
    </xf>
    <xf numFmtId="49" fontId="20" fillId="19" borderId="0" xfId="87" applyNumberFormat="1" applyFont="1" applyFill="1" applyBorder="1" applyAlignment="1" applyProtection="1">
      <alignment horizontal="center" vertical="top" shrinkToFit="1"/>
      <protection locked="0"/>
    </xf>
    <xf numFmtId="0" fontId="10" fillId="20" borderId="44" xfId="87" applyFont="1" applyFill="1" applyBorder="1" applyAlignment="1" applyProtection="1">
      <alignment horizontal="left"/>
    </xf>
    <xf numFmtId="0" fontId="10" fillId="20" borderId="48" xfId="87" applyFont="1" applyFill="1" applyBorder="1" applyAlignment="1" applyProtection="1">
      <alignment horizontal="left"/>
    </xf>
    <xf numFmtId="0" fontId="10" fillId="20" borderId="45" xfId="87" applyFont="1" applyFill="1" applyBorder="1" applyAlignment="1" applyProtection="1">
      <alignment horizontal="left"/>
    </xf>
    <xf numFmtId="0" fontId="11" fillId="0" borderId="13" xfId="241" applyFont="1" applyBorder="1" applyAlignment="1" applyProtection="1">
      <alignment horizontal="center"/>
    </xf>
    <xf numFmtId="0" fontId="11" fillId="0" borderId="0" xfId="241" applyFont="1" applyBorder="1" applyAlignment="1" applyProtection="1">
      <alignment horizontal="center"/>
    </xf>
    <xf numFmtId="0" fontId="7" fillId="0" borderId="0" xfId="241" applyFont="1" applyAlignment="1" applyProtection="1">
      <alignment horizontal="left" vertical="top" wrapText="1"/>
    </xf>
    <xf numFmtId="0" fontId="5" fillId="0" borderId="0" xfId="241" applyFont="1" applyAlignment="1" applyProtection="1">
      <alignment horizontal="left" vertical="top" wrapText="1"/>
    </xf>
    <xf numFmtId="0" fontId="20" fillId="0" borderId="0" xfId="241" applyFont="1" applyAlignment="1" applyProtection="1">
      <alignment horizontal="left" vertical="top" wrapText="1"/>
    </xf>
    <xf numFmtId="0" fontId="20" fillId="0" borderId="0" xfId="241" applyFont="1" applyAlignment="1" applyProtection="1">
      <alignment vertical="top" wrapText="1"/>
    </xf>
    <xf numFmtId="0" fontId="20" fillId="0" borderId="0" xfId="241" applyFont="1" applyBorder="1" applyAlignment="1" applyProtection="1">
      <alignment horizontal="left" vertical="top" wrapText="1"/>
    </xf>
    <xf numFmtId="0" fontId="20" fillId="0" borderId="0" xfId="241" applyFont="1" applyBorder="1" applyAlignment="1" applyProtection="1">
      <alignment horizontal="left" wrapText="1"/>
    </xf>
    <xf numFmtId="0" fontId="20" fillId="0" borderId="27" xfId="241" applyFont="1" applyBorder="1" applyAlignment="1" applyProtection="1">
      <alignment horizontal="left" wrapText="1"/>
    </xf>
    <xf numFmtId="0" fontId="20" fillId="0" borderId="89" xfId="241" applyFont="1" applyBorder="1" applyAlignment="1" applyProtection="1">
      <alignment horizontal="left" wrapText="1"/>
    </xf>
    <xf numFmtId="0" fontId="0" fillId="0" borderId="0" xfId="0" applyAlignment="1">
      <alignment horizontal="left" wrapText="1"/>
    </xf>
    <xf numFmtId="0" fontId="29" fillId="0" borderId="0" xfId="241" applyFont="1" applyBorder="1" applyAlignment="1" applyProtection="1">
      <alignment horizontal="left" wrapText="1"/>
    </xf>
    <xf numFmtId="0" fontId="20" fillId="0" borderId="0" xfId="241" applyFont="1" applyBorder="1" applyAlignment="1" applyProtection="1">
      <alignment horizontal="left" vertical="top" wrapText="1" shrinkToFit="1"/>
    </xf>
    <xf numFmtId="0" fontId="20" fillId="0" borderId="0" xfId="241" applyFont="1" applyAlignment="1">
      <alignment horizontal="left" vertical="top" wrapText="1"/>
    </xf>
    <xf numFmtId="0" fontId="20" fillId="19" borderId="55" xfId="241" applyFont="1" applyFill="1" applyBorder="1" applyAlignment="1" applyProtection="1">
      <alignment horizontal="center"/>
      <protection locked="0"/>
    </xf>
    <xf numFmtId="0" fontId="20" fillId="19" borderId="57" xfId="241" applyFont="1" applyFill="1" applyBorder="1" applyAlignment="1" applyProtection="1">
      <alignment horizontal="center"/>
      <protection locked="0"/>
    </xf>
    <xf numFmtId="0" fontId="20" fillId="19" borderId="56" xfId="241" applyFont="1" applyFill="1" applyBorder="1" applyAlignment="1" applyProtection="1">
      <alignment horizontal="center"/>
      <protection locked="0"/>
    </xf>
    <xf numFmtId="0" fontId="20" fillId="0" borderId="0" xfId="0" applyFont="1" applyAlignment="1" applyProtection="1">
      <alignment horizontal="left" vertical="top" wrapText="1"/>
    </xf>
    <xf numFmtId="0" fontId="20" fillId="0" borderId="0" xfId="241" applyFont="1" applyAlignment="1">
      <alignment horizontal="left"/>
    </xf>
    <xf numFmtId="0" fontId="20" fillId="0" borderId="0" xfId="241" applyFont="1" applyFill="1" applyBorder="1" applyAlignment="1" applyProtection="1">
      <alignment horizontal="left" wrapText="1"/>
    </xf>
    <xf numFmtId="0" fontId="20" fillId="19" borderId="97" xfId="241" applyFont="1" applyFill="1" applyBorder="1" applyAlignment="1" applyProtection="1">
      <alignment horizontal="center"/>
      <protection locked="0"/>
    </xf>
    <xf numFmtId="0" fontId="20" fillId="19" borderId="35" xfId="241" applyFont="1" applyFill="1" applyBorder="1" applyAlignment="1" applyProtection="1">
      <alignment horizontal="center"/>
      <protection locked="0"/>
    </xf>
    <xf numFmtId="0" fontId="20" fillId="26" borderId="97" xfId="241" applyFont="1" applyFill="1" applyBorder="1" applyAlignment="1" applyProtection="1">
      <alignment horizontal="center"/>
    </xf>
    <xf numFmtId="0" fontId="20" fillId="26" borderId="35" xfId="241" applyFont="1" applyFill="1" applyBorder="1" applyAlignment="1" applyProtection="1">
      <alignment horizontal="center"/>
    </xf>
    <xf numFmtId="0" fontId="5" fillId="0" borderId="0" xfId="241" applyFont="1" applyBorder="1" applyAlignment="1" applyProtection="1">
      <alignment horizontal="left" vertical="top" wrapText="1"/>
    </xf>
    <xf numFmtId="0" fontId="44" fillId="0" borderId="0" xfId="0" applyFont="1" applyAlignment="1" applyProtection="1">
      <alignment horizontal="center"/>
    </xf>
    <xf numFmtId="0" fontId="37" fillId="20" borderId="44" xfId="0" applyFont="1" applyFill="1" applyBorder="1" applyAlignment="1" applyProtection="1">
      <alignment horizontal="left"/>
    </xf>
    <xf numFmtId="0" fontId="37" fillId="20" borderId="48" xfId="0" applyFont="1" applyFill="1" applyBorder="1" applyAlignment="1" applyProtection="1">
      <alignment horizontal="left"/>
    </xf>
    <xf numFmtId="0" fontId="37" fillId="20" borderId="45" xfId="0" applyFont="1" applyFill="1" applyBorder="1" applyAlignment="1" applyProtection="1">
      <alignment horizontal="left"/>
    </xf>
    <xf numFmtId="0" fontId="5" fillId="0" borderId="0" xfId="0" applyFont="1" applyAlignment="1" applyProtection="1">
      <alignment horizontal="left"/>
    </xf>
    <xf numFmtId="0" fontId="5" fillId="0" borderId="0" xfId="0" applyFont="1" applyAlignment="1" applyProtection="1">
      <alignment horizontal="left" vertical="top" wrapText="1"/>
    </xf>
    <xf numFmtId="0" fontId="5" fillId="0" borderId="0" xfId="86" applyFont="1" applyFill="1" applyAlignment="1" applyProtection="1">
      <alignment horizontal="left" vertical="top" wrapText="1"/>
    </xf>
    <xf numFmtId="0" fontId="5" fillId="21" borderId="0" xfId="0" applyFont="1" applyFill="1" applyAlignment="1" applyProtection="1">
      <alignment horizontal="left" vertical="top" wrapText="1"/>
    </xf>
    <xf numFmtId="0" fontId="10" fillId="19" borderId="95" xfId="0" applyFont="1" applyFill="1" applyBorder="1" applyAlignment="1" applyProtection="1">
      <alignment horizontal="center" vertical="center"/>
      <protection locked="0"/>
    </xf>
    <xf numFmtId="0" fontId="10" fillId="19" borderId="96" xfId="0" applyFont="1" applyFill="1" applyBorder="1" applyAlignment="1" applyProtection="1">
      <alignment horizontal="center" vertical="center"/>
      <protection locked="0"/>
    </xf>
    <xf numFmtId="0" fontId="10" fillId="19" borderId="107" xfId="0" applyFont="1" applyFill="1" applyBorder="1" applyAlignment="1" applyProtection="1">
      <alignment horizontal="center" vertical="center"/>
      <protection locked="0"/>
    </xf>
    <xf numFmtId="0" fontId="10" fillId="19" borderId="53" xfId="0" applyFont="1" applyFill="1" applyBorder="1" applyAlignment="1" applyProtection="1">
      <alignment horizontal="center" vertical="center"/>
      <protection locked="0"/>
    </xf>
    <xf numFmtId="49" fontId="5" fillId="19" borderId="11" xfId="0" applyNumberFormat="1" applyFont="1" applyFill="1" applyBorder="1" applyAlignment="1" applyProtection="1">
      <alignment horizontal="center" wrapText="1"/>
      <protection locked="0"/>
    </xf>
    <xf numFmtId="49" fontId="5" fillId="19" borderId="55" xfId="0" applyNumberFormat="1" applyFont="1" applyFill="1" applyBorder="1" applyAlignment="1" applyProtection="1">
      <alignment horizontal="center" wrapText="1"/>
      <protection locked="0"/>
    </xf>
    <xf numFmtId="49" fontId="5" fillId="19" borderId="57" xfId="0" applyNumberFormat="1" applyFont="1" applyFill="1" applyBorder="1" applyAlignment="1" applyProtection="1">
      <alignment horizontal="center" wrapText="1"/>
      <protection locked="0"/>
    </xf>
    <xf numFmtId="49" fontId="5" fillId="19" borderId="56" xfId="0" applyNumberFormat="1" applyFont="1" applyFill="1" applyBorder="1" applyAlignment="1" applyProtection="1">
      <alignment horizontal="center" wrapText="1"/>
      <protection locked="0"/>
    </xf>
    <xf numFmtId="0" fontId="5" fillId="0" borderId="11" xfId="0" applyNumberFormat="1" applyFont="1" applyFill="1" applyBorder="1" applyAlignment="1" applyProtection="1">
      <alignment horizontal="center" vertical="top"/>
    </xf>
    <xf numFmtId="0" fontId="5" fillId="0" borderId="55" xfId="0" applyNumberFormat="1" applyFont="1" applyFill="1" applyBorder="1" applyAlignment="1" applyProtection="1">
      <alignment horizontal="center" vertical="top"/>
    </xf>
    <xf numFmtId="0" fontId="5" fillId="0" borderId="57" xfId="0" applyNumberFormat="1" applyFont="1" applyFill="1" applyBorder="1" applyAlignment="1" applyProtection="1">
      <alignment horizontal="center" vertical="top"/>
    </xf>
    <xf numFmtId="0" fontId="5" fillId="0" borderId="56" xfId="0" applyNumberFormat="1" applyFont="1" applyFill="1" applyBorder="1" applyAlignment="1" applyProtection="1">
      <alignment horizontal="center" vertical="top"/>
    </xf>
    <xf numFmtId="0" fontId="5" fillId="19" borderId="55" xfId="0" applyNumberFormat="1" applyFont="1" applyFill="1" applyBorder="1" applyAlignment="1" applyProtection="1">
      <alignment horizontal="center" vertical="top"/>
      <protection locked="0"/>
    </xf>
    <xf numFmtId="0" fontId="5" fillId="19" borderId="57" xfId="0" applyNumberFormat="1" applyFont="1" applyFill="1" applyBorder="1" applyAlignment="1" applyProtection="1">
      <alignment horizontal="center" vertical="top"/>
      <protection locked="0"/>
    </xf>
    <xf numFmtId="0" fontId="5" fillId="19" borderId="56" xfId="0" applyNumberFormat="1" applyFont="1" applyFill="1" applyBorder="1" applyAlignment="1" applyProtection="1">
      <alignment horizontal="center" vertical="top"/>
      <protection locked="0"/>
    </xf>
    <xf numFmtId="166" fontId="20" fillId="19" borderId="11" xfId="0" applyNumberFormat="1" applyFont="1" applyFill="1" applyBorder="1" applyAlignment="1" applyProtection="1">
      <alignment horizontal="center" vertical="top" shrinkToFit="1"/>
      <protection locked="0"/>
    </xf>
    <xf numFmtId="0" fontId="0" fillId="21" borderId="0" xfId="0" applyFill="1" applyAlignment="1" applyProtection="1">
      <alignment horizontal="left" wrapText="1"/>
    </xf>
    <xf numFmtId="0" fontId="20" fillId="19" borderId="55" xfId="0" applyFont="1" applyFill="1" applyBorder="1" applyAlignment="1" applyProtection="1">
      <alignment horizontal="center" vertical="center" wrapText="1"/>
      <protection locked="0"/>
    </xf>
    <xf numFmtId="0" fontId="20" fillId="19" borderId="56" xfId="0" applyFont="1" applyFill="1" applyBorder="1" applyAlignment="1" applyProtection="1">
      <alignment horizontal="center" vertical="center" wrapText="1"/>
      <protection locked="0"/>
    </xf>
    <xf numFmtId="49" fontId="5" fillId="21" borderId="57" xfId="0" applyNumberFormat="1" applyFont="1" applyFill="1" applyBorder="1" applyAlignment="1" applyProtection="1">
      <alignment horizontal="center"/>
      <protection locked="0"/>
    </xf>
    <xf numFmtId="49" fontId="5" fillId="19" borderId="55" xfId="0" applyNumberFormat="1" applyFont="1" applyFill="1" applyBorder="1" applyAlignment="1" applyProtection="1">
      <alignment horizontal="center"/>
      <protection locked="0"/>
    </xf>
    <xf numFmtId="49" fontId="5" fillId="19" borderId="57" xfId="0" applyNumberFormat="1" applyFont="1" applyFill="1" applyBorder="1" applyAlignment="1" applyProtection="1">
      <alignment horizontal="center"/>
      <protection locked="0"/>
    </xf>
    <xf numFmtId="49" fontId="5" fillId="19" borderId="56" xfId="0" applyNumberFormat="1" applyFont="1" applyFill="1" applyBorder="1" applyAlignment="1" applyProtection="1">
      <alignment horizontal="center"/>
      <protection locked="0"/>
    </xf>
    <xf numFmtId="0" fontId="4" fillId="20" borderId="12" xfId="0" applyFont="1" applyFill="1" applyBorder="1" applyAlignment="1" applyProtection="1">
      <alignment horizontal="center"/>
    </xf>
    <xf numFmtId="0" fontId="4" fillId="20" borderId="13" xfId="0" applyFont="1" applyFill="1" applyBorder="1" applyAlignment="1" applyProtection="1">
      <alignment horizontal="center"/>
    </xf>
    <xf numFmtId="0" fontId="4" fillId="20" borderId="26" xfId="0" applyFont="1" applyFill="1" applyBorder="1" applyAlignment="1" applyProtection="1">
      <alignment horizontal="center"/>
    </xf>
    <xf numFmtId="0" fontId="4" fillId="20" borderId="14" xfId="0" applyFont="1" applyFill="1" applyBorder="1" applyAlignment="1" applyProtection="1">
      <alignment horizontal="center"/>
    </xf>
    <xf numFmtId="0" fontId="4" fillId="20" borderId="0" xfId="0" applyFont="1" applyFill="1" applyBorder="1" applyAlignment="1" applyProtection="1">
      <alignment horizontal="center"/>
    </xf>
    <xf numFmtId="0" fontId="4" fillId="20" borderId="18" xfId="0" applyFont="1" applyFill="1" applyBorder="1" applyAlignment="1" applyProtection="1">
      <alignment horizontal="center"/>
    </xf>
    <xf numFmtId="0" fontId="4" fillId="20" borderId="20" xfId="0" applyFont="1" applyFill="1" applyBorder="1" applyAlignment="1" applyProtection="1">
      <alignment horizontal="center"/>
    </xf>
    <xf numFmtId="0" fontId="4" fillId="20" borderId="21" xfId="0" applyFont="1" applyFill="1" applyBorder="1" applyAlignment="1" applyProtection="1">
      <alignment horizontal="center"/>
    </xf>
    <xf numFmtId="0" fontId="4" fillId="20" borderId="22" xfId="0" applyFont="1" applyFill="1" applyBorder="1" applyAlignment="1" applyProtection="1">
      <alignment horizontal="center"/>
    </xf>
    <xf numFmtId="0" fontId="42" fillId="0" borderId="0" xfId="0" applyFont="1" applyAlignment="1" applyProtection="1">
      <alignment horizontal="left" vertical="top" wrapText="1"/>
    </xf>
    <xf numFmtId="0" fontId="15" fillId="0" borderId="0" xfId="0" applyFont="1" applyAlignment="1">
      <alignment horizontal="center"/>
    </xf>
    <xf numFmtId="0" fontId="5" fillId="25" borderId="0" xfId="0" applyFont="1" applyFill="1" applyAlignment="1" applyProtection="1">
      <alignment horizontal="center"/>
      <protection locked="0"/>
    </xf>
    <xf numFmtId="0" fontId="4" fillId="0" borderId="44" xfId="0" applyFont="1" applyBorder="1" applyAlignment="1">
      <alignment horizontal="center" vertical="center"/>
    </xf>
    <xf numFmtId="0" fontId="4" fillId="0" borderId="48" xfId="0" applyFont="1" applyBorder="1" applyAlignment="1">
      <alignment horizontal="center" vertical="center"/>
    </xf>
    <xf numFmtId="0" fontId="4" fillId="0" borderId="45" xfId="0" applyFont="1" applyBorder="1" applyAlignment="1">
      <alignment horizontal="center" vertical="center"/>
    </xf>
    <xf numFmtId="0" fontId="5" fillId="25" borderId="95" xfId="0" applyFont="1" applyFill="1" applyBorder="1" applyAlignment="1" applyProtection="1">
      <alignment horizontal="center"/>
      <protection locked="0"/>
    </xf>
    <xf numFmtId="0" fontId="5" fillId="25" borderId="89" xfId="0" applyFont="1" applyFill="1" applyBorder="1" applyAlignment="1" applyProtection="1">
      <alignment horizontal="center"/>
      <protection locked="0"/>
    </xf>
    <xf numFmtId="0" fontId="5" fillId="25" borderId="96" xfId="0" applyFont="1" applyFill="1" applyBorder="1" applyAlignment="1" applyProtection="1">
      <alignment horizontal="center"/>
      <protection locked="0"/>
    </xf>
    <xf numFmtId="0" fontId="5" fillId="25" borderId="40" xfId="0" applyFont="1" applyFill="1" applyBorder="1" applyAlignment="1" applyProtection="1">
      <alignment horizontal="center"/>
      <protection locked="0"/>
    </xf>
    <xf numFmtId="0" fontId="5" fillId="25" borderId="0" xfId="0" applyFont="1" applyFill="1" applyBorder="1" applyAlignment="1" applyProtection="1">
      <alignment horizontal="center"/>
      <protection locked="0"/>
    </xf>
    <xf numFmtId="0" fontId="5" fillId="25" borderId="27" xfId="0" applyFont="1" applyFill="1" applyBorder="1" applyAlignment="1" applyProtection="1">
      <alignment horizontal="center"/>
      <protection locked="0"/>
    </xf>
    <xf numFmtId="0" fontId="5" fillId="25" borderId="107" xfId="0" applyFont="1" applyFill="1" applyBorder="1" applyAlignment="1" applyProtection="1">
      <alignment horizontal="center"/>
      <protection locked="0"/>
    </xf>
    <xf numFmtId="0" fontId="5" fillId="25" borderId="3" xfId="0" applyFont="1" applyFill="1" applyBorder="1" applyAlignment="1" applyProtection="1">
      <alignment horizontal="center"/>
      <protection locked="0"/>
    </xf>
    <xf numFmtId="0" fontId="5" fillId="25" borderId="53" xfId="0" applyFont="1" applyFill="1" applyBorder="1" applyAlignment="1" applyProtection="1">
      <alignment horizontal="center"/>
      <protection locked="0"/>
    </xf>
    <xf numFmtId="0" fontId="10" fillId="0" borderId="0" xfId="0" applyFont="1" applyAlignment="1">
      <alignment horizontal="center"/>
    </xf>
    <xf numFmtId="0" fontId="5" fillId="0" borderId="0" xfId="0" applyFont="1" applyAlignment="1">
      <alignment wrapText="1"/>
    </xf>
    <xf numFmtId="0" fontId="10" fillId="0" borderId="0" xfId="0" applyFont="1" applyAlignment="1">
      <alignment horizontal="center" wrapText="1"/>
    </xf>
    <xf numFmtId="0" fontId="5" fillId="25" borderId="0" xfId="0" applyFont="1" applyFill="1" applyAlignment="1" applyProtection="1">
      <alignment horizontal="left" vertical="top"/>
      <protection locked="0"/>
    </xf>
    <xf numFmtId="0" fontId="10" fillId="0" borderId="0" xfId="0" applyFont="1" applyAlignment="1">
      <alignment horizontal="left"/>
    </xf>
    <xf numFmtId="0" fontId="5" fillId="25" borderId="95" xfId="0" applyFont="1" applyFill="1" applyBorder="1" applyAlignment="1" applyProtection="1">
      <alignment horizontal="left" vertical="top"/>
      <protection locked="0"/>
    </xf>
    <xf numFmtId="0" fontId="5" fillId="25" borderId="89" xfId="0" applyFont="1" applyFill="1" applyBorder="1" applyAlignment="1" applyProtection="1">
      <alignment horizontal="left" vertical="top"/>
      <protection locked="0"/>
    </xf>
    <xf numFmtId="0" fontId="5" fillId="25" borderId="96" xfId="0" applyFont="1" applyFill="1" applyBorder="1" applyAlignment="1" applyProtection="1">
      <alignment horizontal="left" vertical="top"/>
      <protection locked="0"/>
    </xf>
    <xf numFmtId="0" fontId="5" fillId="25" borderId="40" xfId="0" applyFont="1" applyFill="1" applyBorder="1" applyAlignment="1" applyProtection="1">
      <alignment horizontal="left" vertical="top"/>
      <protection locked="0"/>
    </xf>
    <xf numFmtId="0" fontId="5" fillId="25" borderId="0" xfId="0" applyFont="1" applyFill="1" applyBorder="1" applyAlignment="1" applyProtection="1">
      <alignment horizontal="left" vertical="top"/>
      <protection locked="0"/>
    </xf>
    <xf numFmtId="0" fontId="5" fillId="25" borderId="27" xfId="0" applyFont="1" applyFill="1" applyBorder="1" applyAlignment="1" applyProtection="1">
      <alignment horizontal="left" vertical="top"/>
      <protection locked="0"/>
    </xf>
    <xf numFmtId="0" fontId="5" fillId="25" borderId="107" xfId="0" applyFont="1" applyFill="1" applyBorder="1" applyAlignment="1" applyProtection="1">
      <alignment horizontal="left" vertical="top"/>
      <protection locked="0"/>
    </xf>
    <xf numFmtId="0" fontId="5" fillId="25" borderId="3" xfId="0" applyFont="1" applyFill="1" applyBorder="1" applyAlignment="1" applyProtection="1">
      <alignment horizontal="left" vertical="top"/>
      <protection locked="0"/>
    </xf>
    <xf numFmtId="0" fontId="5" fillId="25" borderId="53" xfId="0" applyFont="1" applyFill="1" applyBorder="1" applyAlignment="1" applyProtection="1">
      <alignment horizontal="left" vertical="top"/>
      <protection locked="0"/>
    </xf>
    <xf numFmtId="0" fontId="10" fillId="0" borderId="0" xfId="0" applyFont="1" applyAlignment="1">
      <alignment horizontal="left" wrapText="1"/>
    </xf>
    <xf numFmtId="0" fontId="5" fillId="20" borderId="55" xfId="0" applyFont="1" applyFill="1" applyBorder="1" applyAlignment="1">
      <alignment horizontal="center"/>
    </xf>
    <xf numFmtId="0" fontId="5" fillId="20" borderId="56" xfId="0" applyFont="1" applyFill="1" applyBorder="1" applyAlignment="1">
      <alignment horizontal="center"/>
    </xf>
    <xf numFmtId="0" fontId="5" fillId="0" borderId="0" xfId="0" quotePrefix="1" applyFont="1" applyAlignment="1">
      <alignment horizontal="left" wrapText="1"/>
    </xf>
    <xf numFmtId="4" fontId="5" fillId="20" borderId="55" xfId="0" applyNumberFormat="1" applyFont="1" applyFill="1" applyBorder="1" applyAlignment="1">
      <alignment horizontal="center"/>
    </xf>
    <xf numFmtId="4" fontId="5" fillId="20" borderId="56" xfId="0" applyNumberFormat="1" applyFont="1" applyFill="1" applyBorder="1" applyAlignment="1">
      <alignment horizontal="center"/>
    </xf>
    <xf numFmtId="178" fontId="5" fillId="20" borderId="55" xfId="0" applyNumberFormat="1" applyFont="1" applyFill="1" applyBorder="1" applyAlignment="1">
      <alignment horizontal="center"/>
    </xf>
    <xf numFmtId="178" fontId="5" fillId="20" borderId="56" xfId="0" applyNumberFormat="1" applyFont="1" applyFill="1" applyBorder="1" applyAlignment="1">
      <alignment horizontal="center"/>
    </xf>
    <xf numFmtId="0" fontId="5" fillId="20" borderId="95" xfId="0" applyFont="1" applyFill="1" applyBorder="1" applyAlignment="1"/>
    <xf numFmtId="0" fontId="0" fillId="0" borderId="89" xfId="0" applyBorder="1" applyAlignment="1"/>
    <xf numFmtId="0" fontId="0" fillId="0" borderId="96" xfId="0" applyBorder="1" applyAlignment="1"/>
    <xf numFmtId="0" fontId="0" fillId="0" borderId="107" xfId="0" applyBorder="1" applyAlignment="1"/>
    <xf numFmtId="0" fontId="0" fillId="0" borderId="3" xfId="0" applyBorder="1" applyAlignment="1"/>
    <xf numFmtId="0" fontId="0" fillId="0" borderId="53" xfId="0" applyBorder="1" applyAlignment="1"/>
    <xf numFmtId="9" fontId="5" fillId="0" borderId="55" xfId="55" applyNumberFormat="1" applyFont="1" applyFill="1" applyBorder="1" applyAlignment="1" applyProtection="1">
      <alignment horizontal="center"/>
      <protection locked="0"/>
    </xf>
    <xf numFmtId="9" fontId="5" fillId="0" borderId="56" xfId="55" applyNumberFormat="1" applyFont="1" applyFill="1" applyBorder="1" applyAlignment="1" applyProtection="1">
      <alignment horizontal="center"/>
      <protection locked="0"/>
    </xf>
    <xf numFmtId="164" fontId="5" fillId="20" borderId="55" xfId="55" applyNumberFormat="1" applyFont="1" applyFill="1" applyBorder="1" applyAlignment="1" applyProtection="1">
      <alignment horizontal="center"/>
      <protection locked="0"/>
    </xf>
    <xf numFmtId="164" fontId="5" fillId="20" borderId="56" xfId="55" applyNumberFormat="1" applyFont="1" applyFill="1" applyBorder="1" applyAlignment="1" applyProtection="1">
      <alignment horizontal="center"/>
      <protection locked="0"/>
    </xf>
    <xf numFmtId="0" fontId="5" fillId="0" borderId="55" xfId="0" applyFont="1" applyBorder="1" applyAlignment="1">
      <alignment horizontal="center" wrapText="1"/>
    </xf>
    <xf numFmtId="0" fontId="5" fillId="0" borderId="57" xfId="0" applyFont="1" applyBorder="1" applyAlignment="1">
      <alignment horizontal="center" wrapText="1"/>
    </xf>
    <xf numFmtId="0" fontId="5" fillId="0" borderId="56" xfId="0" applyFont="1" applyBorder="1" applyAlignment="1">
      <alignment horizontal="center" wrapText="1"/>
    </xf>
    <xf numFmtId="178" fontId="5" fillId="20" borderId="55" xfId="55" applyNumberFormat="1" applyFont="1" applyFill="1" applyBorder="1" applyAlignment="1" applyProtection="1">
      <alignment horizontal="center"/>
      <protection locked="0"/>
    </xf>
    <xf numFmtId="178" fontId="5" fillId="20" borderId="56" xfId="55" applyNumberFormat="1" applyFont="1" applyFill="1" applyBorder="1" applyAlignment="1" applyProtection="1">
      <alignment horizontal="center"/>
      <protection locked="0"/>
    </xf>
    <xf numFmtId="0" fontId="5" fillId="0" borderId="55" xfId="0" applyFont="1" applyBorder="1" applyAlignment="1">
      <alignment horizontal="center"/>
    </xf>
    <xf numFmtId="0" fontId="5" fillId="0" borderId="57" xfId="0" applyFont="1" applyBorder="1" applyAlignment="1">
      <alignment horizontal="center"/>
    </xf>
    <xf numFmtId="0" fontId="5" fillId="0" borderId="56" xfId="0" applyFont="1" applyBorder="1" applyAlignment="1">
      <alignment horizontal="center"/>
    </xf>
    <xf numFmtId="0" fontId="5" fillId="0" borderId="0" xfId="0" applyFont="1" applyAlignment="1">
      <alignment horizontal="left" vertical="top" wrapText="1"/>
    </xf>
    <xf numFmtId="0" fontId="10" fillId="0" borderId="44" xfId="0" applyFont="1" applyBorder="1" applyAlignment="1">
      <alignment horizontal="center"/>
    </xf>
    <xf numFmtId="0" fontId="10" fillId="0" borderId="48" xfId="0" applyFont="1" applyBorder="1" applyAlignment="1">
      <alignment horizontal="center"/>
    </xf>
    <xf numFmtId="0" fontId="10" fillId="0" borderId="45" xfId="0" applyFont="1" applyBorder="1" applyAlignment="1">
      <alignment horizontal="center"/>
    </xf>
    <xf numFmtId="0" fontId="5" fillId="20" borderId="95" xfId="0" applyFont="1" applyFill="1" applyBorder="1" applyAlignment="1" applyProtection="1">
      <alignment horizontal="center"/>
      <protection locked="0"/>
    </xf>
    <xf numFmtId="0" fontId="5" fillId="20" borderId="89" xfId="0" applyFont="1" applyFill="1" applyBorder="1" applyAlignment="1" applyProtection="1">
      <alignment horizontal="center"/>
      <protection locked="0"/>
    </xf>
    <xf numFmtId="0" fontId="5" fillId="20" borderId="96" xfId="0" applyFont="1" applyFill="1" applyBorder="1" applyAlignment="1" applyProtection="1">
      <alignment horizontal="center"/>
      <protection locked="0"/>
    </xf>
    <xf numFmtId="0" fontId="5" fillId="20" borderId="40" xfId="0" applyFont="1" applyFill="1" applyBorder="1" applyAlignment="1" applyProtection="1">
      <alignment horizontal="center"/>
      <protection locked="0"/>
    </xf>
    <xf numFmtId="0" fontId="5" fillId="20" borderId="0" xfId="0" applyFont="1" applyFill="1" applyBorder="1" applyAlignment="1" applyProtection="1">
      <alignment horizontal="center"/>
      <protection locked="0"/>
    </xf>
    <xf numFmtId="0" fontId="5" fillId="20" borderId="27" xfId="0" applyFont="1" applyFill="1" applyBorder="1" applyAlignment="1" applyProtection="1">
      <alignment horizontal="center"/>
      <protection locked="0"/>
    </xf>
    <xf numFmtId="0" fontId="5" fillId="20" borderId="107" xfId="0" applyFont="1" applyFill="1" applyBorder="1" applyAlignment="1" applyProtection="1">
      <alignment horizontal="center"/>
      <protection locked="0"/>
    </xf>
    <xf numFmtId="0" fontId="5" fillId="20" borderId="3" xfId="0" applyFont="1" applyFill="1" applyBorder="1" applyAlignment="1" applyProtection="1">
      <alignment horizontal="center"/>
      <protection locked="0"/>
    </xf>
    <xf numFmtId="0" fontId="5" fillId="20" borderId="53" xfId="0" applyFont="1" applyFill="1" applyBorder="1" applyAlignment="1" applyProtection="1">
      <alignment horizontal="center"/>
      <protection locked="0"/>
    </xf>
    <xf numFmtId="0" fontId="9" fillId="0" borderId="44" xfId="0" applyFont="1" applyBorder="1" applyAlignment="1">
      <alignment horizontal="center"/>
    </xf>
    <xf numFmtId="0" fontId="9" fillId="0" borderId="45" xfId="0" applyFont="1" applyBorder="1" applyAlignment="1">
      <alignment horizontal="center"/>
    </xf>
    <xf numFmtId="0" fontId="10" fillId="0" borderId="95" xfId="0" applyFont="1" applyBorder="1" applyAlignment="1">
      <alignment horizontal="center"/>
    </xf>
    <xf numFmtId="0" fontId="10" fillId="0" borderId="96" xfId="0" applyFont="1" applyBorder="1" applyAlignment="1">
      <alignment horizontal="center"/>
    </xf>
    <xf numFmtId="0" fontId="101" fillId="0" borderId="0" xfId="88" applyFont="1" applyBorder="1" applyAlignment="1">
      <alignment horizontal="left" vertical="top" wrapText="1"/>
    </xf>
    <xf numFmtId="0" fontId="98" fillId="21" borderId="95" xfId="88" applyFont="1" applyFill="1" applyBorder="1" applyAlignment="1">
      <alignment horizontal="center" vertical="center" wrapText="1"/>
    </xf>
    <xf numFmtId="0" fontId="66" fillId="0" borderId="89" xfId="88" applyBorder="1" applyAlignment="1">
      <alignment horizontal="center" vertical="center" wrapText="1"/>
    </xf>
    <xf numFmtId="0" fontId="66" fillId="0" borderId="137" xfId="88" applyBorder="1" applyAlignment="1">
      <alignment horizontal="center" vertical="center" wrapText="1"/>
    </xf>
    <xf numFmtId="0" fontId="88" fillId="0" borderId="51" xfId="88" applyFont="1" applyBorder="1" applyAlignment="1">
      <alignment horizontal="left" wrapText="1"/>
    </xf>
    <xf numFmtId="0" fontId="88" fillId="0" borderId="0" xfId="88" applyFont="1" applyBorder="1" applyAlignment="1">
      <alignment horizontal="left" wrapText="1"/>
    </xf>
    <xf numFmtId="0" fontId="66" fillId="0" borderId="0" xfId="88" applyBorder="1" applyAlignment="1">
      <alignment horizontal="left" wrapText="1"/>
    </xf>
    <xf numFmtId="0" fontId="66" fillId="0" borderId="41" xfId="88" applyBorder="1" applyAlignment="1">
      <alignment horizontal="left" wrapText="1"/>
    </xf>
    <xf numFmtId="0" fontId="88" fillId="0" borderId="51" xfId="88" applyFont="1" applyBorder="1" applyAlignment="1">
      <alignment horizontal="left" vertical="center" wrapText="1"/>
    </xf>
    <xf numFmtId="0" fontId="88" fillId="0" borderId="0" xfId="88" applyFont="1" applyBorder="1" applyAlignment="1">
      <alignment horizontal="left" vertical="center" wrapText="1"/>
    </xf>
    <xf numFmtId="0" fontId="66" fillId="0" borderId="0" xfId="88" applyBorder="1" applyAlignment="1">
      <alignment horizontal="left" vertical="center" wrapText="1"/>
    </xf>
    <xf numFmtId="0" fontId="97" fillId="0" borderId="89" xfId="88" applyFont="1" applyBorder="1" applyAlignment="1">
      <alignment horizontal="center" vertical="top" wrapText="1"/>
    </xf>
    <xf numFmtId="0" fontId="97" fillId="0" borderId="0" xfId="88" applyFont="1" applyBorder="1" applyAlignment="1">
      <alignment horizontal="center" vertical="top" wrapText="1"/>
    </xf>
    <xf numFmtId="0" fontId="66" fillId="0" borderId="3" xfId="88" applyBorder="1" applyAlignment="1">
      <alignment horizontal="center" wrapText="1"/>
    </xf>
    <xf numFmtId="0" fontId="66" fillId="0" borderId="142" xfId="88" applyBorder="1" applyAlignment="1">
      <alignment horizontal="center" wrapText="1"/>
    </xf>
    <xf numFmtId="0" fontId="88" fillId="0" borderId="42" xfId="88" applyFont="1" applyBorder="1" applyAlignment="1">
      <alignment horizontal="left" wrapText="1"/>
    </xf>
    <xf numFmtId="0" fontId="88" fillId="0" borderId="42" xfId="88" applyFont="1" applyBorder="1" applyAlignment="1">
      <alignment horizontal="right" wrapText="1"/>
    </xf>
    <xf numFmtId="0" fontId="100" fillId="0" borderId="51" xfId="88" applyFont="1" applyBorder="1" applyAlignment="1">
      <alignment horizontal="left" vertical="center" wrapText="1"/>
    </xf>
    <xf numFmtId="0" fontId="100" fillId="0" borderId="0" xfId="88" applyFont="1" applyBorder="1" applyAlignment="1">
      <alignment horizontal="left" vertical="center" wrapText="1"/>
    </xf>
    <xf numFmtId="0" fontId="100" fillId="0" borderId="41" xfId="88" applyFont="1" applyBorder="1" applyAlignment="1">
      <alignment horizontal="left" vertical="center" wrapText="1"/>
    </xf>
    <xf numFmtId="0" fontId="88" fillId="0" borderId="3" xfId="88" applyFont="1" applyBorder="1" applyAlignment="1">
      <alignment horizontal="center" wrapText="1"/>
    </xf>
    <xf numFmtId="0" fontId="98" fillId="21" borderId="55" xfId="88" applyFont="1" applyFill="1" applyBorder="1" applyAlignment="1">
      <alignment horizontal="center" vertical="center" wrapText="1"/>
    </xf>
    <xf numFmtId="0" fontId="66" fillId="0" borderId="57" xfId="88" applyBorder="1" applyAlignment="1">
      <alignment horizontal="center" vertical="center" wrapText="1"/>
    </xf>
    <xf numFmtId="0" fontId="66" fillId="0" borderId="136" xfId="88" applyBorder="1" applyAlignment="1">
      <alignment horizontal="center" vertical="center" wrapText="1"/>
    </xf>
    <xf numFmtId="0" fontId="87" fillId="27" borderId="102" xfId="88" applyFont="1" applyFill="1" applyBorder="1" applyAlignment="1">
      <alignment horizontal="center" wrapText="1"/>
    </xf>
    <xf numFmtId="0" fontId="87" fillId="27" borderId="103" xfId="88" applyFont="1" applyFill="1" applyBorder="1" applyAlignment="1">
      <alignment horizontal="center" wrapText="1"/>
    </xf>
    <xf numFmtId="0" fontId="66" fillId="27" borderId="103" xfId="88" applyFill="1" applyBorder="1" applyAlignment="1">
      <alignment wrapText="1"/>
    </xf>
    <xf numFmtId="0" fontId="66" fillId="27" borderId="123" xfId="88" applyFill="1" applyBorder="1" applyAlignment="1">
      <alignment wrapText="1"/>
    </xf>
    <xf numFmtId="0" fontId="66" fillId="0" borderId="0" xfId="88" applyAlignment="1">
      <alignment horizontal="center" vertical="center" wrapText="1"/>
    </xf>
    <xf numFmtId="0" fontId="66" fillId="0" borderId="3" xfId="88" applyBorder="1" applyAlignment="1">
      <alignment horizontal="center" vertical="center" wrapText="1"/>
    </xf>
    <xf numFmtId="180" fontId="90" fillId="0" borderId="168" xfId="88" applyNumberFormat="1" applyFont="1" applyFill="1" applyBorder="1" applyAlignment="1">
      <alignment horizontal="center" vertical="center" wrapText="1"/>
    </xf>
    <xf numFmtId="0" fontId="91" fillId="0" borderId="168" xfId="88" applyFont="1" applyBorder="1" applyAlignment="1">
      <alignment horizontal="center" vertical="center" wrapText="1"/>
    </xf>
    <xf numFmtId="0" fontId="81" fillId="27" borderId="51" xfId="88" applyFont="1" applyFill="1" applyBorder="1" applyAlignment="1">
      <alignment horizontal="left" vertical="center" wrapText="1"/>
    </xf>
    <xf numFmtId="0" fontId="81" fillId="27" borderId="0" xfId="88" applyFont="1" applyFill="1" applyBorder="1" applyAlignment="1">
      <alignment horizontal="left" vertical="center" wrapText="1"/>
    </xf>
    <xf numFmtId="0" fontId="66" fillId="27" borderId="0" xfId="88" applyFont="1" applyFill="1" applyBorder="1" applyAlignment="1">
      <alignment horizontal="left" vertical="center" wrapText="1"/>
    </xf>
    <xf numFmtId="0" fontId="66" fillId="27" borderId="41" xfId="88" applyFont="1" applyFill="1" applyBorder="1" applyAlignment="1">
      <alignment horizontal="left" vertical="center" wrapText="1"/>
    </xf>
    <xf numFmtId="0" fontId="66" fillId="27" borderId="78" xfId="88" applyFont="1" applyFill="1" applyBorder="1" applyAlignment="1">
      <alignment horizontal="left" vertical="center" wrapText="1"/>
    </xf>
    <xf numFmtId="0" fontId="66" fillId="27" borderId="42" xfId="88" applyFont="1" applyFill="1" applyBorder="1" applyAlignment="1">
      <alignment horizontal="left" vertical="center" wrapText="1"/>
    </xf>
    <xf numFmtId="0" fontId="66" fillId="27" borderId="43" xfId="88" applyFont="1" applyFill="1" applyBorder="1" applyAlignment="1">
      <alignment horizontal="left" vertical="center" wrapText="1"/>
    </xf>
    <xf numFmtId="0" fontId="95" fillId="27" borderId="126" xfId="88" applyFont="1" applyFill="1" applyBorder="1" applyAlignment="1">
      <alignment horizontal="center" vertical="center" wrapText="1"/>
    </xf>
    <xf numFmtId="0" fontId="66" fillId="27" borderId="126" xfId="88" applyFill="1" applyBorder="1" applyAlignment="1">
      <alignment horizontal="center" vertical="center" wrapText="1"/>
    </xf>
    <xf numFmtId="0" fontId="66" fillId="27" borderId="169" xfId="88" applyFill="1" applyBorder="1" applyAlignment="1">
      <alignment horizontal="center" vertical="center" wrapText="1"/>
    </xf>
    <xf numFmtId="0" fontId="103" fillId="27" borderId="111" xfId="88" applyFont="1" applyFill="1" applyBorder="1" applyAlignment="1">
      <alignment horizontal="center" vertical="center" wrapText="1"/>
    </xf>
    <xf numFmtId="0" fontId="103" fillId="0" borderId="112" xfId="88" applyFont="1" applyBorder="1" applyAlignment="1">
      <alignment horizontal="center" vertical="center" wrapText="1"/>
    </xf>
    <xf numFmtId="0" fontId="103" fillId="0" borderId="122" xfId="88" applyFont="1" applyBorder="1" applyAlignment="1">
      <alignment horizontal="center" vertical="center" wrapText="1"/>
    </xf>
    <xf numFmtId="0" fontId="66" fillId="0" borderId="102" xfId="88" applyBorder="1" applyAlignment="1">
      <alignment horizontal="left" vertical="center" wrapText="1"/>
    </xf>
    <xf numFmtId="0" fontId="66" fillId="0" borderId="103" xfId="88" applyFont="1" applyBorder="1" applyAlignment="1">
      <alignment horizontal="left" vertical="center" wrapText="1"/>
    </xf>
    <xf numFmtId="0" fontId="66" fillId="0" borderId="123" xfId="88" applyFont="1" applyBorder="1" applyAlignment="1">
      <alignment horizontal="left" vertical="center" wrapText="1"/>
    </xf>
    <xf numFmtId="0" fontId="66" fillId="0" borderId="78" xfId="88" applyFont="1" applyBorder="1" applyAlignment="1">
      <alignment horizontal="left" vertical="center" wrapText="1"/>
    </xf>
    <xf numFmtId="0" fontId="66" fillId="0" borderId="42" xfId="88" applyFont="1" applyBorder="1" applyAlignment="1">
      <alignment horizontal="left" vertical="center" wrapText="1"/>
    </xf>
    <xf numFmtId="0" fontId="66" fillId="0" borderId="43" xfId="88" applyFont="1" applyBorder="1" applyAlignment="1">
      <alignment horizontal="left" vertical="center" wrapText="1"/>
    </xf>
    <xf numFmtId="0" fontId="66" fillId="0" borderId="142" xfId="88" applyBorder="1" applyAlignment="1">
      <alignment horizontal="left" vertical="center" wrapText="1"/>
    </xf>
    <xf numFmtId="0" fontId="66" fillId="0" borderId="3" xfId="88" applyBorder="1" applyAlignment="1">
      <alignment horizontal="left" vertical="center" wrapText="1"/>
    </xf>
    <xf numFmtId="0" fontId="97" fillId="0" borderId="132" xfId="88" applyFont="1" applyBorder="1" applyAlignment="1">
      <alignment horizontal="center" vertical="top" wrapText="1"/>
    </xf>
    <xf numFmtId="0" fontId="66" fillId="0" borderId="89" xfId="88" applyBorder="1" applyAlignment="1">
      <alignment horizontal="center" vertical="top" wrapText="1"/>
    </xf>
    <xf numFmtId="0" fontId="66" fillId="0" borderId="57" xfId="88" applyBorder="1"/>
    <xf numFmtId="0" fontId="66" fillId="0" borderId="136" xfId="88" applyBorder="1"/>
    <xf numFmtId="0" fontId="98" fillId="21" borderId="170" xfId="88" applyFont="1" applyFill="1" applyBorder="1" applyAlignment="1">
      <alignment horizontal="center" vertical="center" wrapText="1"/>
    </xf>
    <xf numFmtId="0" fontId="66" fillId="0" borderId="168" xfId="88" applyBorder="1"/>
    <xf numFmtId="0" fontId="66" fillId="0" borderId="171" xfId="88" applyBorder="1"/>
    <xf numFmtId="0" fontId="66" fillId="21" borderId="0" xfId="88" applyFill="1" applyBorder="1" applyAlignment="1">
      <alignment horizontal="center" vertical="center" wrapText="1"/>
    </xf>
    <xf numFmtId="0" fontId="66" fillId="21" borderId="89" xfId="88" applyFill="1" applyBorder="1" applyAlignment="1">
      <alignment horizontal="center" vertical="top" wrapText="1"/>
    </xf>
    <xf numFmtId="0" fontId="95" fillId="27" borderId="172" xfId="88" applyFont="1" applyFill="1" applyBorder="1" applyAlignment="1">
      <alignment horizontal="center" vertical="center" wrapText="1"/>
    </xf>
    <xf numFmtId="0" fontId="66" fillId="0" borderId="173" xfId="88" applyBorder="1"/>
    <xf numFmtId="0" fontId="66" fillId="0" borderId="174" xfId="88" applyBorder="1"/>
    <xf numFmtId="0" fontId="24" fillId="0" borderId="0" xfId="0" applyFont="1" applyAlignment="1">
      <alignment horizontal="center"/>
    </xf>
    <xf numFmtId="0" fontId="25" fillId="0" borderId="0" xfId="0" applyFont="1" applyAlignment="1">
      <alignment horizontal="center"/>
    </xf>
    <xf numFmtId="0" fontId="0" fillId="0" borderId="0" xfId="0" applyAlignment="1">
      <alignment horizontal="center"/>
    </xf>
  </cellXfs>
  <cellStyles count="300">
    <cellStyle name="20% - Accent1" xfId="1" builtinId="30" customBuiltin="1"/>
    <cellStyle name="20% - Accent1 2" xfId="2" xr:uid="{00000000-0005-0000-0000-000001000000}"/>
    <cellStyle name="20% - Accent1 2 2" xfId="115" xr:uid="{00000000-0005-0000-0000-000002000000}"/>
    <cellStyle name="20% - Accent1 3" xfId="116" xr:uid="{00000000-0005-0000-0000-000003000000}"/>
    <cellStyle name="20% - Accent2" xfId="3" builtinId="34" customBuiltin="1"/>
    <cellStyle name="20% - Accent2 2" xfId="4" xr:uid="{00000000-0005-0000-0000-000005000000}"/>
    <cellStyle name="20% - Accent2 2 2" xfId="117" xr:uid="{00000000-0005-0000-0000-000006000000}"/>
    <cellStyle name="20% - Accent2 3" xfId="118" xr:uid="{00000000-0005-0000-0000-000007000000}"/>
    <cellStyle name="20% - Accent3" xfId="5" builtinId="38" customBuiltin="1"/>
    <cellStyle name="20% - Accent3 2" xfId="6" xr:uid="{00000000-0005-0000-0000-000009000000}"/>
    <cellStyle name="20% - Accent3 2 2" xfId="119" xr:uid="{00000000-0005-0000-0000-00000A000000}"/>
    <cellStyle name="20% - Accent3 3" xfId="120" xr:uid="{00000000-0005-0000-0000-00000B000000}"/>
    <cellStyle name="20% - Accent4" xfId="7" builtinId="42" customBuiltin="1"/>
    <cellStyle name="20% - Accent4 2" xfId="8" xr:uid="{00000000-0005-0000-0000-00000D000000}"/>
    <cellStyle name="20% - Accent4 2 2" xfId="121" xr:uid="{00000000-0005-0000-0000-00000E000000}"/>
    <cellStyle name="20% - Accent4 3" xfId="122" xr:uid="{00000000-0005-0000-0000-00000F000000}"/>
    <cellStyle name="20% - Accent5" xfId="9" builtinId="46" customBuiltin="1"/>
    <cellStyle name="20% - Accent5 2" xfId="10" xr:uid="{00000000-0005-0000-0000-000011000000}"/>
    <cellStyle name="20% - Accent5 2 2" xfId="123" xr:uid="{00000000-0005-0000-0000-000012000000}"/>
    <cellStyle name="20% - Accent5 3" xfId="124" xr:uid="{00000000-0005-0000-0000-000013000000}"/>
    <cellStyle name="20% - Accent6" xfId="11" builtinId="50" customBuiltin="1"/>
    <cellStyle name="20% - Accent6 2" xfId="12" xr:uid="{00000000-0005-0000-0000-000015000000}"/>
    <cellStyle name="20% - Accent6 2 2" xfId="125" xr:uid="{00000000-0005-0000-0000-000016000000}"/>
    <cellStyle name="20% - Accent6 3" xfId="126" xr:uid="{00000000-0005-0000-0000-000017000000}"/>
    <cellStyle name="40% - Accent1" xfId="13" builtinId="31" customBuiltin="1"/>
    <cellStyle name="40% - Accent1 2" xfId="14" xr:uid="{00000000-0005-0000-0000-000019000000}"/>
    <cellStyle name="40% - Accent1 2 2" xfId="127" xr:uid="{00000000-0005-0000-0000-00001A000000}"/>
    <cellStyle name="40% - Accent1 3" xfId="128" xr:uid="{00000000-0005-0000-0000-00001B000000}"/>
    <cellStyle name="40% - Accent2" xfId="15" builtinId="35" customBuiltin="1"/>
    <cellStyle name="40% - Accent2 2" xfId="16" xr:uid="{00000000-0005-0000-0000-00001D000000}"/>
    <cellStyle name="40% - Accent2 2 2" xfId="129" xr:uid="{00000000-0005-0000-0000-00001E000000}"/>
    <cellStyle name="40% - Accent2 3" xfId="130" xr:uid="{00000000-0005-0000-0000-00001F000000}"/>
    <cellStyle name="40% - Accent3" xfId="17" builtinId="39" customBuiltin="1"/>
    <cellStyle name="40% - Accent3 2" xfId="18" xr:uid="{00000000-0005-0000-0000-000021000000}"/>
    <cellStyle name="40% - Accent3 2 2" xfId="131" xr:uid="{00000000-0005-0000-0000-000022000000}"/>
    <cellStyle name="40% - Accent3 3" xfId="132" xr:uid="{00000000-0005-0000-0000-000023000000}"/>
    <cellStyle name="40% - Accent4" xfId="19" builtinId="43" customBuiltin="1"/>
    <cellStyle name="40% - Accent4 2" xfId="20" xr:uid="{00000000-0005-0000-0000-000025000000}"/>
    <cellStyle name="40% - Accent4 2 2" xfId="133" xr:uid="{00000000-0005-0000-0000-000026000000}"/>
    <cellStyle name="40% - Accent4 3" xfId="134" xr:uid="{00000000-0005-0000-0000-000027000000}"/>
    <cellStyle name="40% - Accent5" xfId="21" builtinId="47" customBuiltin="1"/>
    <cellStyle name="40% - Accent5 2" xfId="22" xr:uid="{00000000-0005-0000-0000-000029000000}"/>
    <cellStyle name="40% - Accent5 2 2" xfId="135" xr:uid="{00000000-0005-0000-0000-00002A000000}"/>
    <cellStyle name="40% - Accent5 3" xfId="136" xr:uid="{00000000-0005-0000-0000-00002B000000}"/>
    <cellStyle name="40% - Accent6" xfId="23" builtinId="51" customBuiltin="1"/>
    <cellStyle name="40% - Accent6 2" xfId="24" xr:uid="{00000000-0005-0000-0000-00002D000000}"/>
    <cellStyle name="40% - Accent6 2 2" xfId="137" xr:uid="{00000000-0005-0000-0000-00002E000000}"/>
    <cellStyle name="40% - Accent6 3" xfId="138" xr:uid="{00000000-0005-0000-0000-00002F000000}"/>
    <cellStyle name="60% - Accent1" xfId="25" builtinId="32" customBuiltin="1"/>
    <cellStyle name="60% - Accent1 2" xfId="26" xr:uid="{00000000-0005-0000-0000-000031000000}"/>
    <cellStyle name="60% - Accent1 3" xfId="139" xr:uid="{00000000-0005-0000-0000-000032000000}"/>
    <cellStyle name="60% - Accent2" xfId="27" builtinId="36" customBuiltin="1"/>
    <cellStyle name="60% - Accent2 2" xfId="28" xr:uid="{00000000-0005-0000-0000-000034000000}"/>
    <cellStyle name="60% - Accent2 3" xfId="140" xr:uid="{00000000-0005-0000-0000-000035000000}"/>
    <cellStyle name="60% - Accent3" xfId="29" builtinId="40" customBuiltin="1"/>
    <cellStyle name="60% - Accent3 2" xfId="30" xr:uid="{00000000-0005-0000-0000-000037000000}"/>
    <cellStyle name="60% - Accent3 3" xfId="141" xr:uid="{00000000-0005-0000-0000-000038000000}"/>
    <cellStyle name="60% - Accent4" xfId="31" builtinId="44" customBuiltin="1"/>
    <cellStyle name="60% - Accent4 2" xfId="32" xr:uid="{00000000-0005-0000-0000-00003A000000}"/>
    <cellStyle name="60% - Accent4 3" xfId="142" xr:uid="{00000000-0005-0000-0000-00003B000000}"/>
    <cellStyle name="60% - Accent5" xfId="33" builtinId="48" customBuiltin="1"/>
    <cellStyle name="60% - Accent5 2" xfId="34" xr:uid="{00000000-0005-0000-0000-00003D000000}"/>
    <cellStyle name="60% - Accent5 3" xfId="143" xr:uid="{00000000-0005-0000-0000-00003E000000}"/>
    <cellStyle name="60% - Accent6" xfId="35" builtinId="52" customBuiltin="1"/>
    <cellStyle name="60% - Accent6 2" xfId="36" xr:uid="{00000000-0005-0000-0000-000040000000}"/>
    <cellStyle name="60% - Accent6 3" xfId="144" xr:uid="{00000000-0005-0000-0000-000041000000}"/>
    <cellStyle name="Accent1" xfId="37" builtinId="29" customBuiltin="1"/>
    <cellStyle name="Accent1 2" xfId="38" xr:uid="{00000000-0005-0000-0000-000043000000}"/>
    <cellStyle name="Accent1 3" xfId="145" xr:uid="{00000000-0005-0000-0000-000044000000}"/>
    <cellStyle name="Accent2" xfId="39" builtinId="33" customBuiltin="1"/>
    <cellStyle name="Accent2 2" xfId="40" xr:uid="{00000000-0005-0000-0000-000046000000}"/>
    <cellStyle name="Accent2 3" xfId="146" xr:uid="{00000000-0005-0000-0000-000047000000}"/>
    <cellStyle name="Accent3" xfId="41" builtinId="37" customBuiltin="1"/>
    <cellStyle name="Accent3 2" xfId="42" xr:uid="{00000000-0005-0000-0000-000049000000}"/>
    <cellStyle name="Accent3 3" xfId="147" xr:uid="{00000000-0005-0000-0000-00004A000000}"/>
    <cellStyle name="Accent4" xfId="43" builtinId="41" customBuiltin="1"/>
    <cellStyle name="Accent4 2" xfId="44" xr:uid="{00000000-0005-0000-0000-00004C000000}"/>
    <cellStyle name="Accent4 3" xfId="148" xr:uid="{00000000-0005-0000-0000-00004D000000}"/>
    <cellStyle name="Accent5" xfId="45" builtinId="45" customBuiltin="1"/>
    <cellStyle name="Accent5 2" xfId="46" xr:uid="{00000000-0005-0000-0000-00004F000000}"/>
    <cellStyle name="Accent5 3" xfId="149" xr:uid="{00000000-0005-0000-0000-000050000000}"/>
    <cellStyle name="Accent6" xfId="47" builtinId="49" customBuiltin="1"/>
    <cellStyle name="Accent6 2" xfId="48" xr:uid="{00000000-0005-0000-0000-000052000000}"/>
    <cellStyle name="Accent6 3" xfId="150" xr:uid="{00000000-0005-0000-0000-000053000000}"/>
    <cellStyle name="Bad" xfId="49" builtinId="27" customBuiltin="1"/>
    <cellStyle name="Bad 2" xfId="50" xr:uid="{00000000-0005-0000-0000-000055000000}"/>
    <cellStyle name="Bad 3" xfId="151" xr:uid="{00000000-0005-0000-0000-000056000000}"/>
    <cellStyle name="Calculation" xfId="51" builtinId="22" customBuiltin="1"/>
    <cellStyle name="Calculation 2" xfId="52" xr:uid="{00000000-0005-0000-0000-000058000000}"/>
    <cellStyle name="Calculation 3" xfId="152" xr:uid="{00000000-0005-0000-0000-000059000000}"/>
    <cellStyle name="Check Cell" xfId="53" builtinId="23" customBuiltin="1"/>
    <cellStyle name="Check Cell 2" xfId="54" xr:uid="{00000000-0005-0000-0000-00005B000000}"/>
    <cellStyle name="Check Cell 3" xfId="153" xr:uid="{00000000-0005-0000-0000-00005C000000}"/>
    <cellStyle name="Comma" xfId="55" builtinId="3"/>
    <cellStyle name="Comma 10" xfId="154" xr:uid="{00000000-0005-0000-0000-00005E000000}"/>
    <cellStyle name="Comma 10 2" xfId="155" xr:uid="{00000000-0005-0000-0000-00005F000000}"/>
    <cellStyle name="Comma 11" xfId="156" xr:uid="{00000000-0005-0000-0000-000060000000}"/>
    <cellStyle name="Comma 12" xfId="157" xr:uid="{00000000-0005-0000-0000-000061000000}"/>
    <cellStyle name="Comma 2" xfId="56" xr:uid="{00000000-0005-0000-0000-000062000000}"/>
    <cellStyle name="Comma 2 2" xfId="159" xr:uid="{00000000-0005-0000-0000-000063000000}"/>
    <cellStyle name="Comma 2 3" xfId="158" xr:uid="{00000000-0005-0000-0000-000064000000}"/>
    <cellStyle name="Comma 2 4" xfId="107" xr:uid="{00000000-0005-0000-0000-000065000000}"/>
    <cellStyle name="Comma 3" xfId="160" xr:uid="{00000000-0005-0000-0000-000066000000}"/>
    <cellStyle name="Comma 3 2" xfId="161" xr:uid="{00000000-0005-0000-0000-000067000000}"/>
    <cellStyle name="Comma 3 3" xfId="162" xr:uid="{00000000-0005-0000-0000-000068000000}"/>
    <cellStyle name="Comma 3 3 2" xfId="163" xr:uid="{00000000-0005-0000-0000-000069000000}"/>
    <cellStyle name="Comma 4" xfId="164" xr:uid="{00000000-0005-0000-0000-00006A000000}"/>
    <cellStyle name="Comma 4 2" xfId="297" xr:uid="{00000000-0005-0000-0000-00006B000000}"/>
    <cellStyle name="Comma 5" xfId="165" xr:uid="{00000000-0005-0000-0000-00006C000000}"/>
    <cellStyle name="Comma 5 2" xfId="166" xr:uid="{00000000-0005-0000-0000-00006D000000}"/>
    <cellStyle name="Comma 5 3" xfId="167" xr:uid="{00000000-0005-0000-0000-00006E000000}"/>
    <cellStyle name="Comma 6" xfId="168" xr:uid="{00000000-0005-0000-0000-00006F000000}"/>
    <cellStyle name="Comma 7" xfId="169" xr:uid="{00000000-0005-0000-0000-000070000000}"/>
    <cellStyle name="Comma 7 2" xfId="170" xr:uid="{00000000-0005-0000-0000-000071000000}"/>
    <cellStyle name="Comma 8" xfId="171" xr:uid="{00000000-0005-0000-0000-000072000000}"/>
    <cellStyle name="Comma 8 2" xfId="172" xr:uid="{00000000-0005-0000-0000-000073000000}"/>
    <cellStyle name="Comma 9" xfId="173" xr:uid="{00000000-0005-0000-0000-000074000000}"/>
    <cellStyle name="Comma 9 2" xfId="174" xr:uid="{00000000-0005-0000-0000-000075000000}"/>
    <cellStyle name="Comma 9 3" xfId="175" xr:uid="{00000000-0005-0000-0000-000076000000}"/>
    <cellStyle name="Currency" xfId="57" builtinId="4"/>
    <cellStyle name="Currency 10" xfId="176" xr:uid="{00000000-0005-0000-0000-000078000000}"/>
    <cellStyle name="Currency 10 2" xfId="177" xr:uid="{00000000-0005-0000-0000-000079000000}"/>
    <cellStyle name="Currency 11" xfId="178" xr:uid="{00000000-0005-0000-0000-00007A000000}"/>
    <cellStyle name="Currency 11 2" xfId="179" xr:uid="{00000000-0005-0000-0000-00007B000000}"/>
    <cellStyle name="Currency 12" xfId="180" xr:uid="{00000000-0005-0000-0000-00007C000000}"/>
    <cellStyle name="Currency 13" xfId="181" xr:uid="{00000000-0005-0000-0000-00007D000000}"/>
    <cellStyle name="Currency 14" xfId="182" xr:uid="{00000000-0005-0000-0000-00007E000000}"/>
    <cellStyle name="Currency 14 2" xfId="183" xr:uid="{00000000-0005-0000-0000-00007F000000}"/>
    <cellStyle name="Currency 2" xfId="58" xr:uid="{00000000-0005-0000-0000-000080000000}"/>
    <cellStyle name="Currency 2 2" xfId="184" xr:uid="{00000000-0005-0000-0000-000081000000}"/>
    <cellStyle name="Currency 2 3" xfId="185" xr:uid="{00000000-0005-0000-0000-000082000000}"/>
    <cellStyle name="Currency 3" xfId="59" xr:uid="{00000000-0005-0000-0000-000083000000}"/>
    <cellStyle name="Currency 3 2" xfId="187" xr:uid="{00000000-0005-0000-0000-000084000000}"/>
    <cellStyle name="Currency 3 3" xfId="186" xr:uid="{00000000-0005-0000-0000-000085000000}"/>
    <cellStyle name="Currency 3 4" xfId="108" xr:uid="{00000000-0005-0000-0000-000086000000}"/>
    <cellStyle name="Currency 4" xfId="188" xr:uid="{00000000-0005-0000-0000-000087000000}"/>
    <cellStyle name="Currency 4 2" xfId="189" xr:uid="{00000000-0005-0000-0000-000088000000}"/>
    <cellStyle name="Currency 4 3" xfId="190" xr:uid="{00000000-0005-0000-0000-000089000000}"/>
    <cellStyle name="Currency 5" xfId="191" xr:uid="{00000000-0005-0000-0000-00008A000000}"/>
    <cellStyle name="Currency 5 2" xfId="192" xr:uid="{00000000-0005-0000-0000-00008B000000}"/>
    <cellStyle name="Currency 5 3" xfId="193" xr:uid="{00000000-0005-0000-0000-00008C000000}"/>
    <cellStyle name="Currency 5 4" xfId="194" xr:uid="{00000000-0005-0000-0000-00008D000000}"/>
    <cellStyle name="Currency 6" xfId="195" xr:uid="{00000000-0005-0000-0000-00008E000000}"/>
    <cellStyle name="Currency 7" xfId="196" xr:uid="{00000000-0005-0000-0000-00008F000000}"/>
    <cellStyle name="Currency 7 2" xfId="197" xr:uid="{00000000-0005-0000-0000-000090000000}"/>
    <cellStyle name="Currency 8" xfId="198" xr:uid="{00000000-0005-0000-0000-000091000000}"/>
    <cellStyle name="Currency 8 2" xfId="199" xr:uid="{00000000-0005-0000-0000-000092000000}"/>
    <cellStyle name="Currency 9" xfId="200" xr:uid="{00000000-0005-0000-0000-000093000000}"/>
    <cellStyle name="Currency 9 2" xfId="201" xr:uid="{00000000-0005-0000-0000-000094000000}"/>
    <cellStyle name="Currency 9 3" xfId="202" xr:uid="{00000000-0005-0000-0000-000095000000}"/>
    <cellStyle name="Dollar 00." xfId="60" xr:uid="{00000000-0005-0000-0000-000096000000}"/>
    <cellStyle name="Dollar 00. 10" xfId="203" xr:uid="{00000000-0005-0000-0000-000097000000}"/>
    <cellStyle name="Dollar 00. 10 2" xfId="204" xr:uid="{00000000-0005-0000-0000-000098000000}"/>
    <cellStyle name="Dollar 00. 11" xfId="205" xr:uid="{00000000-0005-0000-0000-000099000000}"/>
    <cellStyle name="Dollar 00. 12" xfId="206" xr:uid="{00000000-0005-0000-0000-00009A000000}"/>
    <cellStyle name="Dollar 00. 13" xfId="207" xr:uid="{00000000-0005-0000-0000-00009B000000}"/>
    <cellStyle name="Dollar 00. 13 2" xfId="208" xr:uid="{00000000-0005-0000-0000-00009C000000}"/>
    <cellStyle name="Dollar 00. 2" xfId="209" xr:uid="{00000000-0005-0000-0000-00009D000000}"/>
    <cellStyle name="Dollar 00. 3" xfId="210" xr:uid="{00000000-0005-0000-0000-00009E000000}"/>
    <cellStyle name="Dollar 00. 4" xfId="211" xr:uid="{00000000-0005-0000-0000-00009F000000}"/>
    <cellStyle name="Dollar 00. 4 2" xfId="212" xr:uid="{00000000-0005-0000-0000-0000A0000000}"/>
    <cellStyle name="Dollar 00. 4 3" xfId="213" xr:uid="{00000000-0005-0000-0000-0000A1000000}"/>
    <cellStyle name="Dollar 00. 5" xfId="214" xr:uid="{00000000-0005-0000-0000-0000A2000000}"/>
    <cellStyle name="Dollar 00. 6" xfId="215" xr:uid="{00000000-0005-0000-0000-0000A3000000}"/>
    <cellStyle name="Dollar 00. 6 2" xfId="216" xr:uid="{00000000-0005-0000-0000-0000A4000000}"/>
    <cellStyle name="Dollar 00. 7" xfId="217" xr:uid="{00000000-0005-0000-0000-0000A5000000}"/>
    <cellStyle name="Dollar 00. 7 2" xfId="218" xr:uid="{00000000-0005-0000-0000-0000A6000000}"/>
    <cellStyle name="Dollar 00. 8" xfId="219" xr:uid="{00000000-0005-0000-0000-0000A7000000}"/>
    <cellStyle name="Dollar 00. 8 2" xfId="220" xr:uid="{00000000-0005-0000-0000-0000A8000000}"/>
    <cellStyle name="Dollar 00. 8 3" xfId="221" xr:uid="{00000000-0005-0000-0000-0000A9000000}"/>
    <cellStyle name="Dollar 00. 9" xfId="222" xr:uid="{00000000-0005-0000-0000-0000AA000000}"/>
    <cellStyle name="Dollar 00. 9 2" xfId="223" xr:uid="{00000000-0005-0000-0000-0000AB000000}"/>
    <cellStyle name="Explanatory Text" xfId="61" builtinId="53" customBuiltin="1"/>
    <cellStyle name="Explanatory Text 2" xfId="62" xr:uid="{00000000-0005-0000-0000-0000AD000000}"/>
    <cellStyle name="Explanatory Text 3" xfId="224" xr:uid="{00000000-0005-0000-0000-0000AE000000}"/>
    <cellStyle name="General" xfId="63" xr:uid="{00000000-0005-0000-0000-0000AF000000}"/>
    <cellStyle name="Good" xfId="64" builtinId="26" customBuiltin="1"/>
    <cellStyle name="Good 2" xfId="65" xr:uid="{00000000-0005-0000-0000-0000B1000000}"/>
    <cellStyle name="Good 3" xfId="225" xr:uid="{00000000-0005-0000-0000-0000B2000000}"/>
    <cellStyle name="Heading 1" xfId="66" builtinId="16" customBuiltin="1"/>
    <cellStyle name="Heading 1 2" xfId="67" xr:uid="{00000000-0005-0000-0000-0000B4000000}"/>
    <cellStyle name="Heading 1 3" xfId="226" xr:uid="{00000000-0005-0000-0000-0000B5000000}"/>
    <cellStyle name="Heading 2" xfId="68" builtinId="17" customBuiltin="1"/>
    <cellStyle name="Heading 2 2" xfId="69" xr:uid="{00000000-0005-0000-0000-0000B7000000}"/>
    <cellStyle name="Heading 2 3" xfId="227" xr:uid="{00000000-0005-0000-0000-0000B8000000}"/>
    <cellStyle name="Heading 3" xfId="70" builtinId="18" customBuiltin="1"/>
    <cellStyle name="Heading 3 2" xfId="71" xr:uid="{00000000-0005-0000-0000-0000BA000000}"/>
    <cellStyle name="Heading 3 3" xfId="228" xr:uid="{00000000-0005-0000-0000-0000BB000000}"/>
    <cellStyle name="Heading 4" xfId="72" builtinId="19" customBuiltin="1"/>
    <cellStyle name="Heading 4 2" xfId="73" xr:uid="{00000000-0005-0000-0000-0000BD000000}"/>
    <cellStyle name="Heading 4 3" xfId="229" xr:uid="{00000000-0005-0000-0000-0000BE000000}"/>
    <cellStyle name="HUD" xfId="74" xr:uid="{00000000-0005-0000-0000-0000BF000000}"/>
    <cellStyle name="HUD 2" xfId="230" xr:uid="{00000000-0005-0000-0000-0000C0000000}"/>
    <cellStyle name="HUD 2 2" xfId="231" xr:uid="{00000000-0005-0000-0000-0000C1000000}"/>
    <cellStyle name="HUD 2 3" xfId="232" xr:uid="{00000000-0005-0000-0000-0000C2000000}"/>
    <cellStyle name="HUD 3" xfId="233" xr:uid="{00000000-0005-0000-0000-0000C3000000}"/>
    <cellStyle name="HUD 3 2" xfId="234" xr:uid="{00000000-0005-0000-0000-0000C4000000}"/>
    <cellStyle name="HUD 3 3" xfId="235" xr:uid="{00000000-0005-0000-0000-0000C5000000}"/>
    <cellStyle name="Hyperlink" xfId="75" builtinId="8"/>
    <cellStyle name="Hyperlink 2" xfId="298" xr:uid="{00000000-0005-0000-0000-0000C7000000}"/>
    <cellStyle name="Input" xfId="76" builtinId="20" customBuiltin="1"/>
    <cellStyle name="Input 2" xfId="77" xr:uid="{00000000-0005-0000-0000-0000C9000000}"/>
    <cellStyle name="Input 3" xfId="236" xr:uid="{00000000-0005-0000-0000-0000CA000000}"/>
    <cellStyle name="Linked Cell" xfId="78" builtinId="24" customBuiltin="1"/>
    <cellStyle name="Linked Cell 2" xfId="79" xr:uid="{00000000-0005-0000-0000-0000CC000000}"/>
    <cellStyle name="Linked Cell 3" xfId="237" xr:uid="{00000000-0005-0000-0000-0000CD000000}"/>
    <cellStyle name="NACC" xfId="80" xr:uid="{00000000-0005-0000-0000-0000CE000000}"/>
    <cellStyle name="Neutral" xfId="81" builtinId="28" customBuiltin="1"/>
    <cellStyle name="Neutral 2" xfId="82" xr:uid="{00000000-0005-0000-0000-0000D0000000}"/>
    <cellStyle name="Neutral 3" xfId="238" xr:uid="{00000000-0005-0000-0000-0000D1000000}"/>
    <cellStyle name="Normal" xfId="0" builtinId="0"/>
    <cellStyle name="Normal 2" xfId="83" xr:uid="{00000000-0005-0000-0000-0000D3000000}"/>
    <cellStyle name="Normal 2 2" xfId="84" xr:uid="{00000000-0005-0000-0000-0000D4000000}"/>
    <cellStyle name="Normal 2 2 2" xfId="241" xr:uid="{00000000-0005-0000-0000-0000D5000000}"/>
    <cellStyle name="Normal 2 2 3" xfId="240" xr:uid="{00000000-0005-0000-0000-0000D6000000}"/>
    <cellStyle name="Normal 2 2 4" xfId="110" xr:uid="{00000000-0005-0000-0000-0000D7000000}"/>
    <cellStyle name="Normal 2 3" xfId="242" xr:uid="{00000000-0005-0000-0000-0000D8000000}"/>
    <cellStyle name="Normal 2 4" xfId="243" xr:uid="{00000000-0005-0000-0000-0000D9000000}"/>
    <cellStyle name="Normal 2 5" xfId="239" xr:uid="{00000000-0005-0000-0000-0000DA000000}"/>
    <cellStyle name="Normal 2 6" xfId="109" xr:uid="{00000000-0005-0000-0000-0000DB000000}"/>
    <cellStyle name="Normal 3" xfId="85" xr:uid="{00000000-0005-0000-0000-0000DC000000}"/>
    <cellStyle name="Normal 3 2" xfId="86" xr:uid="{00000000-0005-0000-0000-0000DD000000}"/>
    <cellStyle name="Normal 3 2 2" xfId="245" xr:uid="{00000000-0005-0000-0000-0000DE000000}"/>
    <cellStyle name="Normal 3 2 3" xfId="244" xr:uid="{00000000-0005-0000-0000-0000DF000000}"/>
    <cellStyle name="Normal 3 2 4" xfId="111" xr:uid="{00000000-0005-0000-0000-0000E0000000}"/>
    <cellStyle name="Normal 3 3" xfId="246" xr:uid="{00000000-0005-0000-0000-0000E1000000}"/>
    <cellStyle name="Normal 3 3 2" xfId="247" xr:uid="{00000000-0005-0000-0000-0000E2000000}"/>
    <cellStyle name="Normal 3 4" xfId="248" xr:uid="{00000000-0005-0000-0000-0000E3000000}"/>
    <cellStyle name="Normal 3 5" xfId="249" xr:uid="{00000000-0005-0000-0000-0000E4000000}"/>
    <cellStyle name="Normal 4" xfId="87" xr:uid="{00000000-0005-0000-0000-0000E5000000}"/>
    <cellStyle name="Normal 4 2" xfId="251" xr:uid="{00000000-0005-0000-0000-0000E6000000}"/>
    <cellStyle name="Normal 4 2 2" xfId="252" xr:uid="{00000000-0005-0000-0000-0000E7000000}"/>
    <cellStyle name="Normal 4 3" xfId="253" xr:uid="{00000000-0005-0000-0000-0000E8000000}"/>
    <cellStyle name="Normal 4 4" xfId="250" xr:uid="{00000000-0005-0000-0000-0000E9000000}"/>
    <cellStyle name="Normal 4 5" xfId="112" xr:uid="{00000000-0005-0000-0000-0000EA000000}"/>
    <cellStyle name="Normal 5" xfId="88" xr:uid="{00000000-0005-0000-0000-0000EB000000}"/>
    <cellStyle name="Normal 5 2" xfId="254" xr:uid="{00000000-0005-0000-0000-0000EC000000}"/>
    <cellStyle name="Normal 6" xfId="255" xr:uid="{00000000-0005-0000-0000-0000ED000000}"/>
    <cellStyle name="Normal 6 2" xfId="256" xr:uid="{00000000-0005-0000-0000-0000EE000000}"/>
    <cellStyle name="Normal 7" xfId="257" xr:uid="{00000000-0005-0000-0000-0000EF000000}"/>
    <cellStyle name="Normal 8" xfId="106" xr:uid="{00000000-0005-0000-0000-0000F0000000}"/>
    <cellStyle name="Normal_Cover" xfId="89" xr:uid="{00000000-0005-0000-0000-0000F1000000}"/>
    <cellStyle name="Normal_sheet1" xfId="90" xr:uid="{00000000-0005-0000-0000-0000F2000000}"/>
    <cellStyle name="Normal_sheet1_1" xfId="91" xr:uid="{00000000-0005-0000-0000-0000F3000000}"/>
    <cellStyle name="Note" xfId="92" builtinId="10" customBuiltin="1"/>
    <cellStyle name="Note 2" xfId="93" xr:uid="{00000000-0005-0000-0000-0000F5000000}"/>
    <cellStyle name="Note 2 2" xfId="259" xr:uid="{00000000-0005-0000-0000-0000F6000000}"/>
    <cellStyle name="Note 2 3" xfId="258" xr:uid="{00000000-0005-0000-0000-0000F7000000}"/>
    <cellStyle name="Note 2 4" xfId="113" xr:uid="{00000000-0005-0000-0000-0000F8000000}"/>
    <cellStyle name="Note 3" xfId="260" xr:uid="{00000000-0005-0000-0000-0000F9000000}"/>
    <cellStyle name="Note 4" xfId="299" xr:uid="{00000000-0005-0000-0000-0000FA000000}"/>
    <cellStyle name="Output" xfId="94" builtinId="21" customBuiltin="1"/>
    <cellStyle name="Output 2" xfId="95" xr:uid="{00000000-0005-0000-0000-0000FC000000}"/>
    <cellStyle name="Output 3" xfId="261" xr:uid="{00000000-0005-0000-0000-0000FD000000}"/>
    <cellStyle name="Percent" xfId="96" builtinId="5"/>
    <cellStyle name="Percent 10" xfId="262" xr:uid="{00000000-0005-0000-0000-0000FF000000}"/>
    <cellStyle name="Percent 10 2" xfId="263" xr:uid="{00000000-0005-0000-0000-000000010000}"/>
    <cellStyle name="Percent 11" xfId="264" xr:uid="{00000000-0005-0000-0000-000001010000}"/>
    <cellStyle name="Percent 11 2" xfId="265" xr:uid="{00000000-0005-0000-0000-000002010000}"/>
    <cellStyle name="Percent 12" xfId="266" xr:uid="{00000000-0005-0000-0000-000003010000}"/>
    <cellStyle name="Percent 13" xfId="267" xr:uid="{00000000-0005-0000-0000-000004010000}"/>
    <cellStyle name="Percent 14" xfId="268" xr:uid="{00000000-0005-0000-0000-000005010000}"/>
    <cellStyle name="Percent 14 2" xfId="269" xr:uid="{00000000-0005-0000-0000-000006010000}"/>
    <cellStyle name="Percent 2" xfId="97" xr:uid="{00000000-0005-0000-0000-000007010000}"/>
    <cellStyle name="Percent 2 2" xfId="270" xr:uid="{00000000-0005-0000-0000-000008010000}"/>
    <cellStyle name="Percent 2 3" xfId="271" xr:uid="{00000000-0005-0000-0000-000009010000}"/>
    <cellStyle name="Percent 3" xfId="98" xr:uid="{00000000-0005-0000-0000-00000A010000}"/>
    <cellStyle name="Percent 3 2" xfId="273" xr:uid="{00000000-0005-0000-0000-00000B010000}"/>
    <cellStyle name="Percent 3 3" xfId="272" xr:uid="{00000000-0005-0000-0000-00000C010000}"/>
    <cellStyle name="Percent 3 4" xfId="114" xr:uid="{00000000-0005-0000-0000-00000D010000}"/>
    <cellStyle name="Percent 4" xfId="274" xr:uid="{00000000-0005-0000-0000-00000E010000}"/>
    <cellStyle name="Percent 4 2" xfId="275" xr:uid="{00000000-0005-0000-0000-00000F010000}"/>
    <cellStyle name="Percent 4 3" xfId="276" xr:uid="{00000000-0005-0000-0000-000010010000}"/>
    <cellStyle name="Percent 5" xfId="277" xr:uid="{00000000-0005-0000-0000-000011010000}"/>
    <cellStyle name="Percent 5 2" xfId="278" xr:uid="{00000000-0005-0000-0000-000012010000}"/>
    <cellStyle name="Percent 5 3" xfId="279" xr:uid="{00000000-0005-0000-0000-000013010000}"/>
    <cellStyle name="Percent 6" xfId="280" xr:uid="{00000000-0005-0000-0000-000014010000}"/>
    <cellStyle name="Percent 7" xfId="281" xr:uid="{00000000-0005-0000-0000-000015010000}"/>
    <cellStyle name="Percent 7 2" xfId="282" xr:uid="{00000000-0005-0000-0000-000016010000}"/>
    <cellStyle name="Percent 8" xfId="283" xr:uid="{00000000-0005-0000-0000-000017010000}"/>
    <cellStyle name="Percent 8 2" xfId="284" xr:uid="{00000000-0005-0000-0000-000018010000}"/>
    <cellStyle name="Percent 9" xfId="285" xr:uid="{00000000-0005-0000-0000-000019010000}"/>
    <cellStyle name="Percent 9 2" xfId="286" xr:uid="{00000000-0005-0000-0000-00001A010000}"/>
    <cellStyle name="Percent 9 3" xfId="287" xr:uid="{00000000-0005-0000-0000-00001B010000}"/>
    <cellStyle name="Shaded Line" xfId="99" xr:uid="{00000000-0005-0000-0000-00001C010000}"/>
    <cellStyle name="Shaded Line 2" xfId="288" xr:uid="{00000000-0005-0000-0000-00001D010000}"/>
    <cellStyle name="Shaded Line 2 2" xfId="289" xr:uid="{00000000-0005-0000-0000-00001E010000}"/>
    <cellStyle name="Shaded Line 2 3" xfId="290" xr:uid="{00000000-0005-0000-0000-00001F010000}"/>
    <cellStyle name="Shaded Line 3" xfId="291" xr:uid="{00000000-0005-0000-0000-000020010000}"/>
    <cellStyle name="Shaded Line 3 2" xfId="292" xr:uid="{00000000-0005-0000-0000-000021010000}"/>
    <cellStyle name="Shaded Line 3 3" xfId="293" xr:uid="{00000000-0005-0000-0000-000022010000}"/>
    <cellStyle name="Title" xfId="100" builtinId="15" customBuiltin="1"/>
    <cellStyle name="Title 2" xfId="101" xr:uid="{00000000-0005-0000-0000-000024010000}"/>
    <cellStyle name="Title 3" xfId="294" xr:uid="{00000000-0005-0000-0000-000025010000}"/>
    <cellStyle name="Total" xfId="102" builtinId="25" customBuiltin="1"/>
    <cellStyle name="Total 2" xfId="103" xr:uid="{00000000-0005-0000-0000-000027010000}"/>
    <cellStyle name="Total 3" xfId="295" xr:uid="{00000000-0005-0000-0000-000028010000}"/>
    <cellStyle name="Warning Text" xfId="104" builtinId="11" customBuiltin="1"/>
    <cellStyle name="Warning Text 2" xfId="105" xr:uid="{00000000-0005-0000-0000-00002A010000}"/>
    <cellStyle name="Warning Text 3" xfId="296" xr:uid="{00000000-0005-0000-0000-00002B010000}"/>
  </cellStyles>
  <dxfs count="1">
    <dxf>
      <font>
        <b/>
        <i val="0"/>
        <condense val="0"/>
        <extend val="0"/>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3E3E3"/>
      <rgbColor rgb="00EAEAE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externalLink" Target="externalLinks/externalLink8.xml"/><Relationship Id="rId50" Type="http://schemas.openxmlformats.org/officeDocument/2006/relationships/externalLink" Target="externalLinks/externalLink11.xml"/><Relationship Id="rId55" Type="http://schemas.openxmlformats.org/officeDocument/2006/relationships/externalLink" Target="externalLinks/externalLink16.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externalLink" Target="externalLinks/externalLink6.xml"/><Relationship Id="rId53" Type="http://schemas.openxmlformats.org/officeDocument/2006/relationships/externalLink" Target="externalLinks/externalLink14.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 Id="rId48" Type="http://schemas.openxmlformats.org/officeDocument/2006/relationships/externalLink" Target="externalLinks/externalLink9.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1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7.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externalLink" Target="externalLinks/externalLink2.xml"/><Relationship Id="rId54"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0.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5.xml"/><Relationship Id="rId52" Type="http://schemas.openxmlformats.org/officeDocument/2006/relationships/externalLink" Target="externalLinks/externalLink1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238125</xdr:colOff>
      <xdr:row>12</xdr:row>
      <xdr:rowOff>47625</xdr:rowOff>
    </xdr:from>
    <xdr:to>
      <xdr:col>8</xdr:col>
      <xdr:colOff>19050</xdr:colOff>
      <xdr:row>41</xdr:row>
      <xdr:rowOff>152400</xdr:rowOff>
    </xdr:to>
    <xdr:sp macro="" textlink="" fLocksText="0">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485775" y="3295650"/>
          <a:ext cx="5591175" cy="48768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3366FF"/>
              </a:solidFill>
              <a:latin typeface="Times New Roman"/>
              <a:cs typeface="Times New Roman"/>
            </a:rPr>
            <a:t>Please use this comment box to supply the reviewer with an overview of the unique issues in this application.</a:t>
          </a:r>
        </a:p>
        <a:p>
          <a:pPr algn="l" rtl="0">
            <a:defRPr sz="1000"/>
          </a:pPr>
          <a:endParaRPr lang="en-US" sz="1000" b="0" i="0" u="none" strike="noStrike" baseline="0">
            <a:solidFill>
              <a:srgbClr val="3366FF"/>
            </a:solidFill>
            <a:latin typeface="Times New Roman"/>
            <a:cs typeface="Times New Roman"/>
          </a:endParaRPr>
        </a:p>
        <a:p>
          <a:pPr algn="l" rtl="0">
            <a:defRPr sz="1000"/>
          </a:pPr>
          <a:endParaRPr lang="en-US" sz="1000" b="0" i="0" u="none" strike="noStrike" baseline="0">
            <a:solidFill>
              <a:srgbClr val="3366FF"/>
            </a:solidFill>
            <a:latin typeface="Times New Roman"/>
            <a:cs typeface="Times New Roman"/>
          </a:endParaRPr>
        </a:p>
        <a:p>
          <a:pPr algn="l" rtl="0">
            <a:defRPr sz="1000"/>
          </a:pPr>
          <a:endParaRPr lang="en-US"/>
        </a:p>
      </xdr:txBody>
    </xdr:sp>
    <xdr:clientData fLocksWithSheet="0"/>
  </xdr:twoCellAnchor>
</xdr:wsDr>
</file>

<file path=xl/drawings/drawing10.xml><?xml version="1.0" encoding="utf-8"?>
<xdr:wsDr xmlns:xdr="http://schemas.openxmlformats.org/drawingml/2006/spreadsheetDrawing" xmlns:a="http://schemas.openxmlformats.org/drawingml/2006/main">
  <xdr:twoCellAnchor>
    <xdr:from>
      <xdr:col>1</xdr:col>
      <xdr:colOff>9525</xdr:colOff>
      <xdr:row>18</xdr:row>
      <xdr:rowOff>47625</xdr:rowOff>
    </xdr:from>
    <xdr:to>
      <xdr:col>5</xdr:col>
      <xdr:colOff>28575</xdr:colOff>
      <xdr:row>18</xdr:row>
      <xdr:rowOff>866775</xdr:rowOff>
    </xdr:to>
    <xdr:sp macro="" textlink="" fLocksText="0">
      <xdr:nvSpPr>
        <xdr:cNvPr id="15379" name="Text Box 19">
          <a:extLst>
            <a:ext uri="{FF2B5EF4-FFF2-40B4-BE49-F238E27FC236}">
              <a16:creationId xmlns:a16="http://schemas.microsoft.com/office/drawing/2014/main" id="{00000000-0008-0000-0F00-0000133C0000}"/>
            </a:ext>
          </a:extLst>
        </xdr:cNvPr>
        <xdr:cNvSpPr txBox="1">
          <a:spLocks noChangeArrowheads="1"/>
        </xdr:cNvSpPr>
      </xdr:nvSpPr>
      <xdr:spPr bwMode="auto">
        <a:xfrm>
          <a:off x="257175" y="3181350"/>
          <a:ext cx="5095875" cy="5334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3366FF"/>
              </a:solidFill>
              <a:latin typeface="Times New Roman"/>
              <a:cs typeface="Times New Roman"/>
            </a:rPr>
            <a:t>Provide any comments on changes to Basis here :  </a:t>
          </a:r>
        </a:p>
        <a:p>
          <a:pPr algn="l" rtl="0">
            <a:defRPr sz="1000"/>
          </a:pPr>
          <a:endParaRPr lang="en-US"/>
        </a:p>
      </xdr:txBody>
    </xdr:sp>
    <xdr:clientData fLocksWithSheet="0"/>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520700</xdr:colOff>
          <xdr:row>85</xdr:row>
          <xdr:rowOff>165100</xdr:rowOff>
        </xdr:from>
        <xdr:to>
          <xdr:col>2</xdr:col>
          <xdr:colOff>114300</xdr:colOff>
          <xdr:row>87</xdr:row>
          <xdr:rowOff>25400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1F97F28F-F4D9-4146-B736-36843B6BB84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0</xdr:col>
      <xdr:colOff>152400</xdr:colOff>
      <xdr:row>37</xdr:row>
      <xdr:rowOff>38100</xdr:rowOff>
    </xdr:from>
    <xdr:to>
      <xdr:col>10</xdr:col>
      <xdr:colOff>276225</xdr:colOff>
      <xdr:row>51</xdr:row>
      <xdr:rowOff>95250</xdr:rowOff>
    </xdr:to>
    <xdr:sp macro="" textlink="" fLocksText="0">
      <xdr:nvSpPr>
        <xdr:cNvPr id="14339" name="Text Box 3">
          <a:extLst>
            <a:ext uri="{FF2B5EF4-FFF2-40B4-BE49-F238E27FC236}">
              <a16:creationId xmlns:a16="http://schemas.microsoft.com/office/drawing/2014/main" id="{00000000-0008-0000-1400-000003380000}"/>
            </a:ext>
          </a:extLst>
        </xdr:cNvPr>
        <xdr:cNvSpPr txBox="1">
          <a:spLocks noChangeArrowheads="1"/>
        </xdr:cNvSpPr>
      </xdr:nvSpPr>
      <xdr:spPr bwMode="auto">
        <a:xfrm>
          <a:off x="152400" y="6162675"/>
          <a:ext cx="5400675" cy="24193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3366FF"/>
              </a:solidFill>
              <a:latin typeface="Times New Roman"/>
              <a:cs typeface="Times New Roman"/>
            </a:rPr>
            <a:t>Audit Comments, Explanation of "No's" :  </a:t>
          </a:r>
        </a:p>
        <a:p>
          <a:pPr algn="l" rtl="0">
            <a:defRPr sz="1000"/>
          </a:pPr>
          <a:endParaRPr lang="en-US"/>
        </a:p>
      </xdr:txBody>
    </xdr:sp>
    <xdr:clientData fLocksWithSheet="0"/>
  </xdr:twoCellAnchor>
</xdr:wsDr>
</file>

<file path=xl/drawings/drawing13.xml><?xml version="1.0" encoding="utf-8"?>
<xdr:wsDr xmlns:xdr="http://schemas.openxmlformats.org/drawingml/2006/spreadsheetDrawing" xmlns:a="http://schemas.openxmlformats.org/drawingml/2006/main">
  <xdr:twoCellAnchor>
    <xdr:from>
      <xdr:col>6</xdr:col>
      <xdr:colOff>152400</xdr:colOff>
      <xdr:row>9</xdr:row>
      <xdr:rowOff>85725</xdr:rowOff>
    </xdr:from>
    <xdr:to>
      <xdr:col>11</xdr:col>
      <xdr:colOff>85725</xdr:colOff>
      <xdr:row>12</xdr:row>
      <xdr:rowOff>114300</xdr:rowOff>
    </xdr:to>
    <xdr:sp macro="" textlink="">
      <xdr:nvSpPr>
        <xdr:cNvPr id="21505" name="Text Box 1">
          <a:extLst>
            <a:ext uri="{FF2B5EF4-FFF2-40B4-BE49-F238E27FC236}">
              <a16:creationId xmlns:a16="http://schemas.microsoft.com/office/drawing/2014/main" id="{00000000-0008-0000-1A00-000001540000}"/>
            </a:ext>
          </a:extLst>
        </xdr:cNvPr>
        <xdr:cNvSpPr txBox="1">
          <a:spLocks noChangeArrowheads="1"/>
        </xdr:cNvSpPr>
      </xdr:nvSpPr>
      <xdr:spPr bwMode="auto">
        <a:xfrm>
          <a:off x="3448050" y="1657350"/>
          <a:ext cx="2981325" cy="5143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To be completed on the zoning authority's letterhead and submitted with the application as </a:t>
          </a:r>
        </a:p>
        <a:p>
          <a:pPr algn="l" rtl="0">
            <a:defRPr sz="1000"/>
          </a:pPr>
          <a:r>
            <a:rPr lang="en-US" sz="1000" b="0" i="0" u="none" strike="noStrike" baseline="0">
              <a:solidFill>
                <a:srgbClr val="000000"/>
              </a:solidFill>
              <a:latin typeface="Arial"/>
              <a:cs typeface="Arial"/>
            </a:rPr>
            <a:t>Appendix 4(i).</a:t>
          </a:r>
          <a:endParaRPr lang="en-US"/>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1</xdr:col>
      <xdr:colOff>1</xdr:colOff>
      <xdr:row>32</xdr:row>
      <xdr:rowOff>0</xdr:rowOff>
    </xdr:from>
    <xdr:to>
      <xdr:col>8</xdr:col>
      <xdr:colOff>590551</xdr:colOff>
      <xdr:row>36</xdr:row>
      <xdr:rowOff>123825</xdr:rowOff>
    </xdr:to>
    <xdr:sp macro="" textlink="" fLocksText="0">
      <xdr:nvSpPr>
        <xdr:cNvPr id="19458" name="Text Box 2">
          <a:extLst>
            <a:ext uri="{FF2B5EF4-FFF2-40B4-BE49-F238E27FC236}">
              <a16:creationId xmlns:a16="http://schemas.microsoft.com/office/drawing/2014/main" id="{00000000-0008-0000-1B00-0000024C0000}"/>
            </a:ext>
          </a:extLst>
        </xdr:cNvPr>
        <xdr:cNvSpPr txBox="1">
          <a:spLocks noChangeArrowheads="1"/>
        </xdr:cNvSpPr>
      </xdr:nvSpPr>
      <xdr:spPr bwMode="auto">
        <a:xfrm>
          <a:off x="247651" y="5305425"/>
          <a:ext cx="5295900" cy="7715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3366FF"/>
              </a:solidFill>
              <a:latin typeface="Times New Roman"/>
              <a:cs typeface="Times New Roman"/>
            </a:rPr>
            <a:t>Charitable Activites Comments :  </a:t>
          </a:r>
        </a:p>
        <a:p>
          <a:pPr algn="l" rtl="0">
            <a:defRPr sz="1000"/>
          </a:pPr>
          <a:endParaRPr lang="en-US"/>
        </a:p>
      </xdr:txBody>
    </xdr:sp>
    <xdr:clientData fLocksWithSheet="0"/>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63500</xdr:colOff>
          <xdr:row>24</xdr:row>
          <xdr:rowOff>38100</xdr:rowOff>
        </xdr:from>
        <xdr:to>
          <xdr:col>6</xdr:col>
          <xdr:colOff>571500</xdr:colOff>
          <xdr:row>27</xdr:row>
          <xdr:rowOff>127000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62247726-A193-B349-AA97-9BA809429A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876300</xdr:colOff>
          <xdr:row>24</xdr:row>
          <xdr:rowOff>25400</xdr:rowOff>
        </xdr:from>
        <xdr:to>
          <xdr:col>6</xdr:col>
          <xdr:colOff>1397000</xdr:colOff>
          <xdr:row>27</xdr:row>
          <xdr:rowOff>139700</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83805482-A848-0B40-8049-49E18DC72FD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No</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1384300</xdr:colOff>
          <xdr:row>13</xdr:row>
          <xdr:rowOff>50800</xdr:rowOff>
        </xdr:from>
        <xdr:to>
          <xdr:col>12</xdr:col>
          <xdr:colOff>1892300</xdr:colOff>
          <xdr:row>16</xdr:row>
          <xdr:rowOff>139700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D5A554C8-BBF5-4C45-A7E0-B21DF1BBA39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673100</xdr:colOff>
          <xdr:row>13</xdr:row>
          <xdr:rowOff>76200</xdr:rowOff>
        </xdr:from>
        <xdr:to>
          <xdr:col>12</xdr:col>
          <xdr:colOff>1257300</xdr:colOff>
          <xdr:row>16</xdr:row>
          <xdr:rowOff>114300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8D6899F-226A-954A-AEDC-B72DB0F72C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Yes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28</xdr:row>
      <xdr:rowOff>0</xdr:rowOff>
    </xdr:from>
    <xdr:to>
      <xdr:col>10</xdr:col>
      <xdr:colOff>0</xdr:colOff>
      <xdr:row>37</xdr:row>
      <xdr:rowOff>142875</xdr:rowOff>
    </xdr:to>
    <xdr:sp macro="" textlink="" fLocksText="0">
      <xdr:nvSpPr>
        <xdr:cNvPr id="2049" name="Text 19">
          <a:extLst>
            <a:ext uri="{FF2B5EF4-FFF2-40B4-BE49-F238E27FC236}">
              <a16:creationId xmlns:a16="http://schemas.microsoft.com/office/drawing/2014/main" id="{00000000-0008-0000-0100-000001080000}"/>
            </a:ext>
          </a:extLst>
        </xdr:cNvPr>
        <xdr:cNvSpPr txBox="1">
          <a:spLocks noChangeArrowheads="1"/>
        </xdr:cNvSpPr>
      </xdr:nvSpPr>
      <xdr:spPr bwMode="auto">
        <a:xfrm>
          <a:off x="104775" y="4838700"/>
          <a:ext cx="9124950" cy="16002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3366FF"/>
              </a:solidFill>
              <a:latin typeface="Times New Roman"/>
              <a:cs typeface="Times New Roman"/>
            </a:rPr>
            <a:t>Input Comments: </a:t>
          </a:r>
          <a:endParaRPr lang="en-US" sz="800" b="0" i="0" u="none" strike="noStrike" baseline="0">
            <a:solidFill>
              <a:srgbClr val="0000FF"/>
            </a:solidFill>
            <a:latin typeface="Times New Roman"/>
            <a:cs typeface="Times New Roman"/>
          </a:endParaRPr>
        </a:p>
        <a:p>
          <a:pPr algn="l" rtl="0">
            <a:lnSpc>
              <a:spcPts val="1100"/>
            </a:lnSpc>
            <a:defRPr sz="1000"/>
          </a:pPr>
          <a:endParaRPr lang="en-US"/>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37</xdr:row>
      <xdr:rowOff>38100</xdr:rowOff>
    </xdr:from>
    <xdr:to>
      <xdr:col>14</xdr:col>
      <xdr:colOff>114300</xdr:colOff>
      <xdr:row>40</xdr:row>
      <xdr:rowOff>142874</xdr:rowOff>
    </xdr:to>
    <xdr:sp macro="" textlink="" fLocksText="0">
      <xdr:nvSpPr>
        <xdr:cNvPr id="10242" name="Text 19">
          <a:extLst>
            <a:ext uri="{FF2B5EF4-FFF2-40B4-BE49-F238E27FC236}">
              <a16:creationId xmlns:a16="http://schemas.microsoft.com/office/drawing/2014/main" id="{00000000-0008-0000-0200-000002280000}"/>
            </a:ext>
          </a:extLst>
        </xdr:cNvPr>
        <xdr:cNvSpPr txBox="1">
          <a:spLocks noChangeArrowheads="1"/>
        </xdr:cNvSpPr>
      </xdr:nvSpPr>
      <xdr:spPr bwMode="auto">
        <a:xfrm>
          <a:off x="114300" y="6696075"/>
          <a:ext cx="8801100" cy="590549"/>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3366FF"/>
              </a:solidFill>
              <a:latin typeface="Times New Roman"/>
              <a:cs typeface="Times New Roman"/>
            </a:rPr>
            <a:t>Input Comments: </a:t>
          </a:r>
          <a:endParaRPr lang="en-US" sz="800" b="0" i="0" u="none" strike="noStrike" baseline="0">
            <a:solidFill>
              <a:srgbClr val="0000FF"/>
            </a:solidFill>
            <a:latin typeface="Times New Roman"/>
            <a:cs typeface="Times New Roman"/>
          </a:endParaRPr>
        </a:p>
        <a:p>
          <a:pPr algn="l" rtl="0">
            <a:lnSpc>
              <a:spcPts val="1100"/>
            </a:lnSpc>
            <a:defRPr sz="1000"/>
          </a:pPr>
          <a:endParaRPr lang="en-US"/>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93</xdr:row>
      <xdr:rowOff>95250</xdr:rowOff>
    </xdr:from>
    <xdr:to>
      <xdr:col>12</xdr:col>
      <xdr:colOff>123825</xdr:colOff>
      <xdr:row>109</xdr:row>
      <xdr:rowOff>114300</xdr:rowOff>
    </xdr:to>
    <xdr:sp macro="" textlink="" fLocksText="0">
      <xdr:nvSpPr>
        <xdr:cNvPr id="5121" name="Text 19">
          <a:extLst>
            <a:ext uri="{FF2B5EF4-FFF2-40B4-BE49-F238E27FC236}">
              <a16:creationId xmlns:a16="http://schemas.microsoft.com/office/drawing/2014/main" id="{00000000-0008-0000-0400-000001140000}"/>
            </a:ext>
          </a:extLst>
        </xdr:cNvPr>
        <xdr:cNvSpPr txBox="1">
          <a:spLocks noChangeArrowheads="1"/>
        </xdr:cNvSpPr>
      </xdr:nvSpPr>
      <xdr:spPr bwMode="auto">
        <a:xfrm>
          <a:off x="114300" y="16964025"/>
          <a:ext cx="9582150" cy="26098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3366FF"/>
              </a:solidFill>
              <a:latin typeface="Times New Roman"/>
              <a:cs typeface="Times New Roman"/>
            </a:rPr>
            <a:t>Income Comments:</a:t>
          </a:r>
        </a:p>
        <a:p>
          <a:pPr algn="l" rtl="0">
            <a:defRPr sz="1000"/>
          </a:pPr>
          <a:endParaRPr lang="en-US" sz="800" b="0" i="0" u="none" strike="noStrike" baseline="0">
            <a:solidFill>
              <a:srgbClr val="0000FF"/>
            </a:solidFill>
            <a:latin typeface="Times New Roman"/>
            <a:cs typeface="Times New Roman"/>
          </a:endParaRPr>
        </a:p>
        <a:p>
          <a:pPr algn="l" rtl="0">
            <a:defRPr sz="1000"/>
          </a:pPr>
          <a:endParaRPr lang="en-US" sz="800" b="0" i="0" u="none" strike="noStrike" baseline="0">
            <a:solidFill>
              <a:srgbClr val="0000FF"/>
            </a:solidFill>
            <a:latin typeface="Times New Roman"/>
            <a:cs typeface="Times New Roman"/>
          </a:endParaRPr>
        </a:p>
        <a:p>
          <a:pPr algn="l" rtl="0">
            <a:defRPr sz="1000"/>
          </a:pPr>
          <a:endParaRPr lang="en-US"/>
        </a:p>
      </xdr:txBody>
    </xdr:sp>
    <xdr:clientData fLocksWithSheet="0"/>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193</xdr:row>
      <xdr:rowOff>76200</xdr:rowOff>
    </xdr:from>
    <xdr:to>
      <xdr:col>6</xdr:col>
      <xdr:colOff>0</xdr:colOff>
      <xdr:row>200</xdr:row>
      <xdr:rowOff>152400</xdr:rowOff>
    </xdr:to>
    <xdr:sp macro="" textlink="" fLocksText="0">
      <xdr:nvSpPr>
        <xdr:cNvPr id="4100" name="Text 19">
          <a:extLst>
            <a:ext uri="{FF2B5EF4-FFF2-40B4-BE49-F238E27FC236}">
              <a16:creationId xmlns:a16="http://schemas.microsoft.com/office/drawing/2014/main" id="{00000000-0008-0000-0500-000004100000}"/>
            </a:ext>
          </a:extLst>
        </xdr:cNvPr>
        <xdr:cNvSpPr txBox="1">
          <a:spLocks noChangeArrowheads="1"/>
        </xdr:cNvSpPr>
      </xdr:nvSpPr>
      <xdr:spPr bwMode="auto">
        <a:xfrm>
          <a:off x="190500" y="33851850"/>
          <a:ext cx="5543550" cy="1209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3366FF"/>
              </a:solidFill>
              <a:latin typeface="Times New Roman"/>
              <a:cs typeface="Times New Roman"/>
            </a:rPr>
            <a:t>Rehab/Development Cost Comments: </a:t>
          </a:r>
          <a:endParaRPr lang="en-US" sz="800" b="0" i="0" u="none" strike="noStrike" baseline="0">
            <a:solidFill>
              <a:srgbClr val="0000FF"/>
            </a:solidFill>
            <a:latin typeface="Times New Roman"/>
            <a:cs typeface="Times New Roman"/>
          </a:endParaRPr>
        </a:p>
        <a:p>
          <a:pPr algn="l" rtl="0">
            <a:lnSpc>
              <a:spcPts val="1100"/>
            </a:lnSpc>
            <a:defRPr sz="1000"/>
          </a:pPr>
          <a:endParaRPr lang="en-US"/>
        </a:p>
      </xdr:txBody>
    </xdr:sp>
    <xdr:clientData fLocksWithSheet="0"/>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20</xdr:row>
      <xdr:rowOff>0</xdr:rowOff>
    </xdr:from>
    <xdr:to>
      <xdr:col>25</xdr:col>
      <xdr:colOff>704850</xdr:colOff>
      <xdr:row>37</xdr:row>
      <xdr:rowOff>0</xdr:rowOff>
    </xdr:to>
    <xdr:sp macro="" textlink="" fLocksText="0">
      <xdr:nvSpPr>
        <xdr:cNvPr id="6145" name="Text 19">
          <a:extLst>
            <a:ext uri="{FF2B5EF4-FFF2-40B4-BE49-F238E27FC236}">
              <a16:creationId xmlns:a16="http://schemas.microsoft.com/office/drawing/2014/main" id="{00000000-0008-0000-0700-000001180000}"/>
            </a:ext>
          </a:extLst>
        </xdr:cNvPr>
        <xdr:cNvSpPr txBox="1">
          <a:spLocks noChangeArrowheads="1"/>
        </xdr:cNvSpPr>
      </xdr:nvSpPr>
      <xdr:spPr bwMode="auto">
        <a:xfrm>
          <a:off x="180975" y="3505200"/>
          <a:ext cx="8562975" cy="28003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800" b="0" i="0" u="none" strike="noStrike" baseline="0">
              <a:solidFill>
                <a:srgbClr val="3366FF"/>
              </a:solidFill>
              <a:latin typeface="Times New Roman"/>
              <a:cs typeface="Times New Roman"/>
            </a:rPr>
            <a:t>Reserve Comments: </a:t>
          </a:r>
          <a:endParaRPr lang="en-US" sz="800" b="0" i="0" u="none" strike="noStrike" baseline="0">
            <a:solidFill>
              <a:srgbClr val="0000FF"/>
            </a:solidFill>
            <a:latin typeface="Times New Roman"/>
            <a:cs typeface="Times New Roman"/>
          </a:endParaRPr>
        </a:p>
        <a:p>
          <a:pPr algn="l" rtl="0">
            <a:defRPr sz="1000"/>
          </a:pPr>
          <a:endParaRPr lang="en-US"/>
        </a:p>
      </xdr:txBody>
    </xdr:sp>
    <xdr:clientData fLocksWithSheet="0"/>
  </xdr:twoCellAnchor>
</xdr:wsDr>
</file>

<file path=xl/drawings/drawing7.xml><?xml version="1.0" encoding="utf-8"?>
<xdr:wsDr xmlns:xdr="http://schemas.openxmlformats.org/drawingml/2006/spreadsheetDrawing" xmlns:a="http://schemas.openxmlformats.org/drawingml/2006/main">
  <xdr:twoCellAnchor>
    <xdr:from>
      <xdr:col>7</xdr:col>
      <xdr:colOff>19050</xdr:colOff>
      <xdr:row>2</xdr:row>
      <xdr:rowOff>38100</xdr:rowOff>
    </xdr:from>
    <xdr:to>
      <xdr:col>8</xdr:col>
      <xdr:colOff>1104900</xdr:colOff>
      <xdr:row>11</xdr:row>
      <xdr:rowOff>38100</xdr:rowOff>
    </xdr:to>
    <xdr:sp macro="" textlink="" fLocksText="0">
      <xdr:nvSpPr>
        <xdr:cNvPr id="9217" name="Text 1">
          <a:extLst>
            <a:ext uri="{FF2B5EF4-FFF2-40B4-BE49-F238E27FC236}">
              <a16:creationId xmlns:a16="http://schemas.microsoft.com/office/drawing/2014/main" id="{00000000-0008-0000-0A00-000001240000}"/>
            </a:ext>
          </a:extLst>
        </xdr:cNvPr>
        <xdr:cNvSpPr txBox="1">
          <a:spLocks noChangeArrowheads="1"/>
        </xdr:cNvSpPr>
      </xdr:nvSpPr>
      <xdr:spPr bwMode="auto">
        <a:xfrm>
          <a:off x="4086225" y="409575"/>
          <a:ext cx="2905125" cy="14192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3366FF"/>
              </a:solidFill>
              <a:latin typeface="Times New Roman"/>
              <a:cs typeface="Times New Roman"/>
            </a:rPr>
            <a:t>Sources &amp; Uses Comments:</a:t>
          </a:r>
        </a:p>
        <a:p>
          <a:pPr algn="l" rtl="0">
            <a:defRPr sz="1000"/>
          </a:pPr>
          <a:endParaRPr lang="en-US" sz="800" b="0" i="0" u="none" strike="noStrike" baseline="0">
            <a:solidFill>
              <a:srgbClr val="0000FF"/>
            </a:solidFill>
            <a:latin typeface="Times New Roman"/>
            <a:cs typeface="Times New Roman"/>
          </a:endParaRPr>
        </a:p>
        <a:p>
          <a:pPr algn="l" rtl="0">
            <a:defRPr sz="1000"/>
          </a:pPr>
          <a:endParaRPr lang="en-US"/>
        </a:p>
      </xdr:txBody>
    </xdr:sp>
    <xdr:clientData fLocksWithSheet="0"/>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99</xdr:row>
      <xdr:rowOff>0</xdr:rowOff>
    </xdr:from>
    <xdr:to>
      <xdr:col>6</xdr:col>
      <xdr:colOff>704850</xdr:colOff>
      <xdr:row>107</xdr:row>
      <xdr:rowOff>0</xdr:rowOff>
    </xdr:to>
    <xdr:sp macro="" textlink="" fLocksText="0">
      <xdr:nvSpPr>
        <xdr:cNvPr id="7169" name="Text 19">
          <a:extLst>
            <a:ext uri="{FF2B5EF4-FFF2-40B4-BE49-F238E27FC236}">
              <a16:creationId xmlns:a16="http://schemas.microsoft.com/office/drawing/2014/main" id="{00000000-0008-0000-0D00-0000011C0000}"/>
            </a:ext>
          </a:extLst>
        </xdr:cNvPr>
        <xdr:cNvSpPr txBox="1">
          <a:spLocks noChangeArrowheads="1"/>
        </xdr:cNvSpPr>
      </xdr:nvSpPr>
      <xdr:spPr bwMode="auto">
        <a:xfrm>
          <a:off x="247650" y="16649700"/>
          <a:ext cx="5762625" cy="12954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3366FF"/>
              </a:solidFill>
              <a:latin typeface="Times New Roman"/>
              <a:cs typeface="Times New Roman"/>
            </a:rPr>
            <a:t>Expense Comments: </a:t>
          </a:r>
          <a:endParaRPr lang="en-US" sz="800" b="0" i="0" u="none" strike="noStrike" baseline="0">
            <a:solidFill>
              <a:srgbClr val="0000FF"/>
            </a:solidFill>
            <a:latin typeface="Times New Roman"/>
            <a:cs typeface="Times New Roman"/>
          </a:endParaRPr>
        </a:p>
        <a:p>
          <a:pPr algn="l" rtl="0">
            <a:lnSpc>
              <a:spcPts val="1100"/>
            </a:lnSpc>
            <a:defRPr sz="1000"/>
          </a:pPr>
          <a:endParaRPr lang="en-US"/>
        </a:p>
      </xdr:txBody>
    </xdr:sp>
    <xdr:clientData fLocksWithSheet="0"/>
  </xdr:twoCellAnchor>
</xdr:wsDr>
</file>

<file path=xl/drawings/drawing9.xml><?xml version="1.0" encoding="utf-8"?>
<xdr:wsDr xmlns:xdr="http://schemas.openxmlformats.org/drawingml/2006/spreadsheetDrawing" xmlns:a="http://schemas.openxmlformats.org/drawingml/2006/main">
  <xdr:twoCellAnchor>
    <xdr:from>
      <xdr:col>1</xdr:col>
      <xdr:colOff>104775</xdr:colOff>
      <xdr:row>50</xdr:row>
      <xdr:rowOff>47625</xdr:rowOff>
    </xdr:from>
    <xdr:to>
      <xdr:col>10</xdr:col>
      <xdr:colOff>485775</xdr:colOff>
      <xdr:row>55</xdr:row>
      <xdr:rowOff>19050</xdr:rowOff>
    </xdr:to>
    <xdr:sp macro="" textlink="" fLocksText="0">
      <xdr:nvSpPr>
        <xdr:cNvPr id="8193" name="Text 19">
          <a:extLst>
            <a:ext uri="{FF2B5EF4-FFF2-40B4-BE49-F238E27FC236}">
              <a16:creationId xmlns:a16="http://schemas.microsoft.com/office/drawing/2014/main" id="{00000000-0008-0000-0E00-000001200000}"/>
            </a:ext>
          </a:extLst>
        </xdr:cNvPr>
        <xdr:cNvSpPr txBox="1">
          <a:spLocks noChangeArrowheads="1"/>
        </xdr:cNvSpPr>
      </xdr:nvSpPr>
      <xdr:spPr bwMode="auto">
        <a:xfrm>
          <a:off x="219075" y="8753475"/>
          <a:ext cx="7096125" cy="7810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3366FF"/>
              </a:solidFill>
              <a:latin typeface="Times New Roman"/>
              <a:cs typeface="Times New Roman"/>
            </a:rPr>
            <a:t>Pro Forma Comments: </a:t>
          </a:r>
          <a:endParaRPr lang="en-US" sz="800" b="0" i="0" u="none" strike="noStrike" baseline="0">
            <a:solidFill>
              <a:srgbClr val="0000FF"/>
            </a:solidFill>
            <a:latin typeface="Times New Roman"/>
            <a:cs typeface="Times New Roman"/>
          </a:endParaRPr>
        </a:p>
        <a:p>
          <a:pPr algn="l" rtl="0">
            <a:lnSpc>
              <a:spcPts val="1100"/>
            </a:lnSpc>
            <a:defRPr sz="1000"/>
          </a:pPr>
          <a:endParaRPr lang="en-US"/>
        </a:p>
      </xdr:txBody>
    </xdr: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52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lrussell/AppData/Local/Microsoft/Windows/Temporary%20Internet%20Files/Content.Outlook/VNWI0TF4/Monthly%20Construction%20Report%2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webapps18.lhfa.state.la.us/Documents%20and%20Settings/nathan/Local%20Settings/Temporary%20Internet%20Files/OLK6/Application/2005_LIHTC_App.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lhfa.state.la.us/Documents%20and%20Settings/nathan/Local%20Settings/Temporary%20Internet%20Files/OLK6/Application/2005_LIHTC_App.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nathan/Local%20Settings/Temporary%20Internet%20Files/OLK6/Application/2005_LIHTC_Ap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ncarter/AppData/Local/Microsoft/Windows/Temporary%20Internet%20Files/Content.Outlook/JTQVFRXN/2010_LIHTC_HOME_App_V1.8_lhf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webapps18.lhfa.state.la.us/TaxCredit/Originals/2010_LIHTC_HOME_App_V1.8_lhf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smulhearn/AppData/Local/Microsoft/Windows/Temporary%20Internet%20Files/Content.Outlook/AB9DTZ0A/2016_9471_2014_LIHTC_HOME_CDBG__App_V1.9.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Masters/M2M%20Underwriting%20Rev%204_35%20with%20Upgrad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ebapps18.lhfa.state.la.us/Documents%20and%20Settings/nathan/Local%20Settings/Temporary%20Internet%20Files/OLK6/LHFA/Tax%20credit%20applications%202005/052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lhfa.state.la.us/Documents%20and%20Settings/nathan/Local%20Settings/Temporary%20Internet%20Files/OLK6/LHFA/Tax%20credit%20applications%202005/052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nathan/Local%20Settings/Temporary%20Internet%20Files/OLK6/LHFA/Tax%20credit%20applications%202005/052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Knollcrest%20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ebapps18.lhfa.state.la.us/Users/ncarter/AppData/Local/Microsoft/Windows/Temporary%20Internet%20Files/Content.Outlook/WUNZX53B/2010_LIHTC_HOME_App_V1.8-%20working%20draf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webapps18.lhfa.state.la.us/Users/lrussell/AppData/Local/Microsoft/Windows/Temporary%20Internet%20Files/Content.Outlook/VNWI0TF4/Monthly%20Construction%20Report%2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lhfa.state.la.us/Users/lrussell/AppData/Local/Microsoft/Windows/Temporary%20Internet%20Files/Content.Outlook/VNWI0TF4/Monthly%20Construction%20Report%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Res Bldg Info"/>
      <sheetName val="Acc Bldg Info"/>
      <sheetName val="Subsidy"/>
      <sheetName val="Syndication"/>
      <sheetName val="Unit Info"/>
      <sheetName val="Sources &amp; Uses"/>
      <sheetName val="Calculator"/>
      <sheetName val="Financing Cert"/>
      <sheetName val="Cert of Act Cost"/>
      <sheetName val="Access_Bldgs"/>
      <sheetName val="Find Basis"/>
      <sheetName val="Basis"/>
      <sheetName val="Income"/>
      <sheetName val="ProForma"/>
      <sheetName val="TDC Limits"/>
      <sheetName val="Criteria"/>
      <sheetName val="Cert of Demand"/>
      <sheetName val="Local Jurisdiction"/>
      <sheetName val="Schedule"/>
      <sheetName val="Development Team"/>
      <sheetName val="Forms"/>
      <sheetName val="Non-Profit"/>
      <sheetName val="Ownership Info"/>
      <sheetName val="Site Control"/>
      <sheetName val="Ownership History"/>
      <sheetName val="RD wksht"/>
      <sheetName val="QCT wksht"/>
      <sheetName val="sub_rehab"/>
      <sheetName val="Master Auditor"/>
      <sheetName val="Lists"/>
      <sheetName val="Checklist"/>
      <sheetName val="Print Out"/>
      <sheetName val="FMR 2050"/>
      <sheetName val="FMR 4060"/>
    </sheetNames>
    <sheetDataSet>
      <sheetData sheetId="0" refreshError="1">
        <row r="27">
          <cell r="H27">
            <v>269780</v>
          </cell>
        </row>
        <row r="30">
          <cell r="F30" t="str">
            <v>North Oaks Subdivision Limited Partnership</v>
          </cell>
        </row>
        <row r="42">
          <cell r="D42" t="str">
            <v>X</v>
          </cell>
        </row>
        <row r="63">
          <cell r="I63" t="str">
            <v>Will be applied for</v>
          </cell>
        </row>
        <row r="75">
          <cell r="J75" t="str">
            <v>YES</v>
          </cell>
        </row>
      </sheetData>
      <sheetData sheetId="1"/>
      <sheetData sheetId="2"/>
      <sheetData sheetId="3" refreshError="1">
        <row r="48">
          <cell r="C48">
            <v>0</v>
          </cell>
          <cell r="D48">
            <v>0</v>
          </cell>
          <cell r="E48">
            <v>0</v>
          </cell>
          <cell r="F48">
            <v>0</v>
          </cell>
          <cell r="G48">
            <v>0</v>
          </cell>
          <cell r="H48">
            <v>0</v>
          </cell>
          <cell r="I48">
            <v>0</v>
          </cell>
          <cell r="L48">
            <v>0</v>
          </cell>
          <cell r="M48">
            <v>0</v>
          </cell>
          <cell r="N48">
            <v>399999.99999999994</v>
          </cell>
          <cell r="O48">
            <v>0</v>
          </cell>
          <cell r="P48">
            <v>0</v>
          </cell>
          <cell r="Q48">
            <v>0</v>
          </cell>
          <cell r="R48">
            <v>0</v>
          </cell>
          <cell r="S48">
            <v>0</v>
          </cell>
          <cell r="W48">
            <v>0</v>
          </cell>
          <cell r="X48">
            <v>0</v>
          </cell>
          <cell r="Y48">
            <v>0</v>
          </cell>
          <cell r="Z48">
            <v>0</v>
          </cell>
          <cell r="AA48">
            <v>0</v>
          </cell>
          <cell r="AB48">
            <v>0</v>
          </cell>
          <cell r="AC48">
            <v>0</v>
          </cell>
          <cell r="AD48">
            <v>0</v>
          </cell>
          <cell r="AG48">
            <v>0</v>
          </cell>
          <cell r="AH48">
            <v>0</v>
          </cell>
          <cell r="AI48">
            <v>0</v>
          </cell>
          <cell r="AJ48">
            <v>0</v>
          </cell>
          <cell r="AK48">
            <v>0</v>
          </cell>
          <cell r="AL48">
            <v>0</v>
          </cell>
          <cell r="AM48">
            <v>0</v>
          </cell>
          <cell r="AN48">
            <v>0</v>
          </cell>
          <cell r="AP48">
            <v>0</v>
          </cell>
          <cell r="AQ48">
            <v>0</v>
          </cell>
          <cell r="AR48">
            <v>0</v>
          </cell>
          <cell r="AS48">
            <v>0</v>
          </cell>
          <cell r="AT48">
            <v>0</v>
          </cell>
          <cell r="AU48">
            <v>0</v>
          </cell>
          <cell r="AV48">
            <v>0</v>
          </cell>
          <cell r="AW48">
            <v>0</v>
          </cell>
        </row>
        <row r="49">
          <cell r="I49">
            <v>0</v>
          </cell>
          <cell r="T49">
            <v>399999.99999999994</v>
          </cell>
          <cell r="AE49">
            <v>0</v>
          </cell>
          <cell r="AJ49">
            <v>0</v>
          </cell>
          <cell r="AN49">
            <v>0</v>
          </cell>
          <cell r="AW49">
            <v>0</v>
          </cell>
        </row>
      </sheetData>
      <sheetData sheetId="4" refreshError="1">
        <row r="18">
          <cell r="D18" t="str">
            <v xml:space="preserve">National Equity Funds </v>
          </cell>
        </row>
        <row r="19">
          <cell r="D19" t="str">
            <v>1825 K Street, NW, Suite 1100, Washington, DC 20006</v>
          </cell>
        </row>
        <row r="21">
          <cell r="E21">
            <v>2027399271</v>
          </cell>
        </row>
        <row r="57">
          <cell r="H57">
            <v>546304.5</v>
          </cell>
        </row>
        <row r="58">
          <cell r="H58">
            <v>1092609</v>
          </cell>
        </row>
        <row r="59">
          <cell r="H59">
            <v>546304.5</v>
          </cell>
        </row>
      </sheetData>
      <sheetData sheetId="5"/>
      <sheetData sheetId="6" refreshError="1">
        <row r="53">
          <cell r="F53">
            <v>110070</v>
          </cell>
          <cell r="H53">
            <v>113751.59999999999</v>
          </cell>
        </row>
        <row r="68">
          <cell r="F68">
            <v>40100</v>
          </cell>
          <cell r="H68">
            <v>40118.6</v>
          </cell>
        </row>
        <row r="69">
          <cell r="F69">
            <v>120350</v>
          </cell>
          <cell r="H69">
            <v>120355.79999999999</v>
          </cell>
        </row>
        <row r="72">
          <cell r="F72">
            <v>0</v>
          </cell>
        </row>
        <row r="81">
          <cell r="F81">
            <v>2166380</v>
          </cell>
        </row>
        <row r="87">
          <cell r="F87">
            <v>85000</v>
          </cell>
        </row>
        <row r="93">
          <cell r="F93">
            <v>85000</v>
          </cell>
          <cell r="H93">
            <v>0</v>
          </cell>
        </row>
        <row r="99">
          <cell r="F99">
            <v>85000</v>
          </cell>
        </row>
        <row r="100">
          <cell r="F100">
            <v>20000</v>
          </cell>
        </row>
        <row r="101">
          <cell r="F101">
            <v>30000</v>
          </cell>
        </row>
        <row r="102">
          <cell r="F102">
            <v>1500</v>
          </cell>
        </row>
        <row r="103">
          <cell r="F103">
            <v>1500</v>
          </cell>
        </row>
        <row r="106">
          <cell r="F106">
            <v>7500</v>
          </cell>
        </row>
        <row r="107">
          <cell r="F107">
            <v>25000</v>
          </cell>
        </row>
        <row r="108">
          <cell r="F108">
            <v>500</v>
          </cell>
        </row>
        <row r="109">
          <cell r="F109">
            <v>25000</v>
          </cell>
        </row>
        <row r="110">
          <cell r="F110">
            <v>10000</v>
          </cell>
        </row>
        <row r="111">
          <cell r="F111">
            <v>10000</v>
          </cell>
        </row>
        <row r="112">
          <cell r="F112">
            <v>15000</v>
          </cell>
        </row>
        <row r="114">
          <cell r="F114">
            <v>35000</v>
          </cell>
        </row>
        <row r="115">
          <cell r="F115">
            <v>367600</v>
          </cell>
          <cell r="H115">
            <v>367632</v>
          </cell>
        </row>
        <row r="117">
          <cell r="F117">
            <v>18500</v>
          </cell>
        </row>
        <row r="135">
          <cell r="F135">
            <v>22000</v>
          </cell>
        </row>
        <row r="139">
          <cell r="F139">
            <v>22000</v>
          </cell>
        </row>
        <row r="170">
          <cell r="F170">
            <v>2925480</v>
          </cell>
        </row>
        <row r="176">
          <cell r="F176" t="str">
            <v>OIB</v>
          </cell>
        </row>
        <row r="178">
          <cell r="F178">
            <v>340262</v>
          </cell>
        </row>
        <row r="179">
          <cell r="F179">
            <v>30</v>
          </cell>
        </row>
        <row r="180">
          <cell r="F180">
            <v>7.8E-2</v>
          </cell>
        </row>
        <row r="181">
          <cell r="F181">
            <v>29393.349162835919</v>
          </cell>
        </row>
        <row r="186">
          <cell r="F186">
            <v>0</v>
          </cell>
        </row>
        <row r="189">
          <cell r="F189">
            <v>0</v>
          </cell>
        </row>
        <row r="197">
          <cell r="F197">
            <v>0</v>
          </cell>
        </row>
        <row r="200">
          <cell r="F200">
            <v>0</v>
          </cell>
        </row>
        <row r="205">
          <cell r="F205">
            <v>0</v>
          </cell>
        </row>
        <row r="208">
          <cell r="F208">
            <v>0</v>
          </cell>
        </row>
        <row r="218">
          <cell r="F218">
            <v>0</v>
          </cell>
        </row>
        <row r="228">
          <cell r="F228">
            <v>0</v>
          </cell>
        </row>
        <row r="234">
          <cell r="F234">
            <v>0</v>
          </cell>
        </row>
        <row r="237">
          <cell r="F237">
            <v>2185218</v>
          </cell>
        </row>
        <row r="239">
          <cell r="F239">
            <v>2185218</v>
          </cell>
        </row>
        <row r="241">
          <cell r="F241">
            <v>2925480</v>
          </cell>
        </row>
      </sheetData>
      <sheetData sheetId="7"/>
      <sheetData sheetId="8"/>
      <sheetData sheetId="9"/>
      <sheetData sheetId="10"/>
      <sheetData sheetId="11"/>
      <sheetData sheetId="12"/>
      <sheetData sheetId="13" refreshError="1">
        <row r="6">
          <cell r="H6">
            <v>0.93</v>
          </cell>
        </row>
      </sheetData>
      <sheetData sheetId="14"/>
      <sheetData sheetId="15" refreshError="1">
        <row r="68">
          <cell r="C68">
            <v>0.23587582208731558</v>
          </cell>
        </row>
      </sheetData>
      <sheetData sheetId="16" refreshError="1">
        <row r="34">
          <cell r="I34">
            <v>9705</v>
          </cell>
        </row>
        <row r="35">
          <cell r="I35" t="str">
            <v>Richland</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row r="255">
          <cell r="AA255">
            <v>0.8110010027885437</v>
          </cell>
        </row>
      </sheetData>
      <sheetData sheetId="33"/>
      <sheetData sheetId="3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ow r="3">
          <cell r="A3" t="str">
            <v>07/08(FA)</v>
          </cell>
        </row>
        <row r="4">
          <cell r="A4" t="str">
            <v>07/08(PC)</v>
          </cell>
        </row>
        <row r="5">
          <cell r="A5" t="str">
            <v>2006 2nd Round</v>
          </cell>
        </row>
        <row r="6">
          <cell r="A6" t="str">
            <v>2006 Round</v>
          </cell>
        </row>
        <row r="7">
          <cell r="A7" t="str">
            <v>2008 Lightning Round</v>
          </cell>
        </row>
        <row r="8">
          <cell r="A8" t="str">
            <v>2009 Per Capita</v>
          </cell>
        </row>
        <row r="9">
          <cell r="A9" t="str">
            <v xml:space="preserve">2006 Bond </v>
          </cell>
        </row>
        <row r="10">
          <cell r="A10" t="str">
            <v>2007 Bond</v>
          </cell>
        </row>
        <row r="11">
          <cell r="A11" t="str">
            <v xml:space="preserve">2008 Bond </v>
          </cell>
        </row>
        <row r="12">
          <cell r="A12" t="str">
            <v>2009 Bond</v>
          </cell>
        </row>
      </sheetData>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Res Bldg Info"/>
      <sheetName val="Acc Bldg Info"/>
      <sheetName val="Subsidy"/>
      <sheetName val="Syndication"/>
      <sheetName val="Unit Info"/>
      <sheetName val="Sources &amp; Uses"/>
      <sheetName val="Calculator"/>
      <sheetName val="Financing Cert"/>
      <sheetName val="Cert of Act Cost"/>
      <sheetName val="Access_Bldgs"/>
      <sheetName val="Find Basis"/>
      <sheetName val="Basis"/>
      <sheetName val="Income"/>
      <sheetName val="ProForma"/>
      <sheetName val="TDC Limits"/>
      <sheetName val="Criteria"/>
      <sheetName val="Cert of Demand"/>
      <sheetName val="Local Jurisdiction"/>
      <sheetName val="Schedule"/>
      <sheetName val="Development Team"/>
      <sheetName val="Forms"/>
      <sheetName val="Non-Profit"/>
      <sheetName val="Ownership Info"/>
      <sheetName val="Site Control"/>
      <sheetName val="Ownership History"/>
      <sheetName val="RD wksht"/>
      <sheetName val="QCT wksht"/>
      <sheetName val="sub_rehab"/>
      <sheetName val="Master Auditor"/>
      <sheetName val="Lists"/>
      <sheetName val="Checklist"/>
      <sheetName val="Print Out"/>
      <sheetName val="FMR 2050"/>
      <sheetName val="FMR 406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19">
          <cell r="B19" t="str">
            <v>select from list</v>
          </cell>
        </row>
        <row r="20">
          <cell r="B20" t="str">
            <v>ACADIA</v>
          </cell>
        </row>
        <row r="21">
          <cell r="B21" t="str">
            <v>ALLEN</v>
          </cell>
        </row>
        <row r="22">
          <cell r="B22" t="str">
            <v>ASCENSION</v>
          </cell>
        </row>
        <row r="23">
          <cell r="B23" t="str">
            <v>ASSUMPTION</v>
          </cell>
        </row>
        <row r="24">
          <cell r="B24" t="str">
            <v>AVOYELLES</v>
          </cell>
        </row>
        <row r="25">
          <cell r="B25" t="str">
            <v>BEAUREGARD</v>
          </cell>
        </row>
        <row r="26">
          <cell r="B26" t="str">
            <v>BIENVILLE</v>
          </cell>
        </row>
        <row r="27">
          <cell r="B27" t="str">
            <v>BOSSIER</v>
          </cell>
        </row>
        <row r="28">
          <cell r="B28" t="str">
            <v>CADDO</v>
          </cell>
        </row>
        <row r="29">
          <cell r="B29" t="str">
            <v>CALCASIEU</v>
          </cell>
        </row>
        <row r="30">
          <cell r="B30" t="str">
            <v>CALDWELL</v>
          </cell>
        </row>
        <row r="31">
          <cell r="B31" t="str">
            <v>CAMERON</v>
          </cell>
        </row>
        <row r="32">
          <cell r="B32" t="str">
            <v>CATAHOULA</v>
          </cell>
        </row>
        <row r="33">
          <cell r="B33" t="str">
            <v>CLAIBORNE</v>
          </cell>
        </row>
        <row r="34">
          <cell r="B34" t="str">
            <v>CONCORDIA</v>
          </cell>
        </row>
        <row r="35">
          <cell r="B35" t="str">
            <v>DESOTO</v>
          </cell>
        </row>
        <row r="36">
          <cell r="B36" t="str">
            <v>E. BATON ROUGE</v>
          </cell>
        </row>
        <row r="37">
          <cell r="B37" t="str">
            <v>EAST CARROLL</v>
          </cell>
        </row>
        <row r="38">
          <cell r="B38" t="str">
            <v>E. FELICIANA</v>
          </cell>
        </row>
        <row r="39">
          <cell r="B39" t="str">
            <v>EVANGELINE</v>
          </cell>
        </row>
        <row r="40">
          <cell r="B40" t="str">
            <v>FRANKLIN</v>
          </cell>
        </row>
        <row r="41">
          <cell r="B41" t="str">
            <v>GRANT</v>
          </cell>
        </row>
        <row r="42">
          <cell r="B42" t="str">
            <v>IBERIA</v>
          </cell>
        </row>
        <row r="43">
          <cell r="B43" t="str">
            <v>IBERVILLE</v>
          </cell>
        </row>
        <row r="44">
          <cell r="B44" t="str">
            <v>JACKSON</v>
          </cell>
        </row>
        <row r="45">
          <cell r="B45" t="str">
            <v>JEFFERSON</v>
          </cell>
        </row>
        <row r="46">
          <cell r="B46" t="str">
            <v>JEFFERSON DAVIS</v>
          </cell>
        </row>
        <row r="47">
          <cell r="B47" t="str">
            <v>LAFAYETTE</v>
          </cell>
        </row>
        <row r="48">
          <cell r="B48" t="str">
            <v>LAFOURCHE</v>
          </cell>
        </row>
        <row r="49">
          <cell r="B49" t="str">
            <v>LASALLE</v>
          </cell>
        </row>
        <row r="50">
          <cell r="B50" t="str">
            <v>LINCOLN</v>
          </cell>
        </row>
        <row r="51">
          <cell r="B51" t="str">
            <v>LIVINGSTON</v>
          </cell>
        </row>
        <row r="52">
          <cell r="B52" t="str">
            <v>MADISON</v>
          </cell>
        </row>
        <row r="53">
          <cell r="B53" t="str">
            <v>MOREHOUSE</v>
          </cell>
        </row>
        <row r="54">
          <cell r="B54" t="str">
            <v>NATCHITOCHES</v>
          </cell>
        </row>
        <row r="55">
          <cell r="B55" t="str">
            <v>ORLEANS</v>
          </cell>
        </row>
        <row r="56">
          <cell r="B56" t="str">
            <v>OUACHITA</v>
          </cell>
        </row>
        <row r="57">
          <cell r="B57" t="str">
            <v>PLAQUEMINES</v>
          </cell>
        </row>
        <row r="58">
          <cell r="B58" t="str">
            <v>POINTE COUPEE</v>
          </cell>
        </row>
        <row r="59">
          <cell r="B59" t="str">
            <v>RAPIDES</v>
          </cell>
        </row>
        <row r="60">
          <cell r="B60" t="str">
            <v>RED RIVER</v>
          </cell>
        </row>
        <row r="61">
          <cell r="B61" t="str">
            <v>RICHLAND</v>
          </cell>
        </row>
        <row r="62">
          <cell r="B62" t="str">
            <v>SABINE</v>
          </cell>
        </row>
        <row r="63">
          <cell r="B63" t="str">
            <v>ST. BERNARD</v>
          </cell>
        </row>
        <row r="64">
          <cell r="B64" t="str">
            <v>ST. CHARLES</v>
          </cell>
        </row>
        <row r="65">
          <cell r="B65" t="str">
            <v>ST. HELENA</v>
          </cell>
        </row>
        <row r="66">
          <cell r="B66" t="str">
            <v>ST. JAMES</v>
          </cell>
        </row>
        <row r="67">
          <cell r="B67" t="str">
            <v>ST. JOHN</v>
          </cell>
        </row>
        <row r="68">
          <cell r="B68" t="str">
            <v>ST. LANDRY</v>
          </cell>
        </row>
        <row r="69">
          <cell r="B69" t="str">
            <v>ST. MARTIN</v>
          </cell>
        </row>
        <row r="70">
          <cell r="B70" t="str">
            <v>ST. MARY</v>
          </cell>
        </row>
        <row r="71">
          <cell r="B71" t="str">
            <v>ST. TAMMANY</v>
          </cell>
        </row>
        <row r="72">
          <cell r="B72" t="str">
            <v>TANGIPAHOA</v>
          </cell>
        </row>
        <row r="73">
          <cell r="B73" t="str">
            <v>TENSAS</v>
          </cell>
        </row>
        <row r="74">
          <cell r="B74" t="str">
            <v>TERREBONNE</v>
          </cell>
        </row>
        <row r="75">
          <cell r="B75" t="str">
            <v>UNION</v>
          </cell>
        </row>
        <row r="76">
          <cell r="B76" t="str">
            <v>VERMILION</v>
          </cell>
        </row>
        <row r="77">
          <cell r="B77" t="str">
            <v>VERNON</v>
          </cell>
        </row>
        <row r="78">
          <cell r="B78" t="str">
            <v>WASHINGTON</v>
          </cell>
        </row>
        <row r="79">
          <cell r="B79" t="str">
            <v>WEBSTER</v>
          </cell>
        </row>
        <row r="80">
          <cell r="B80" t="str">
            <v>W. BATON ROUGE</v>
          </cell>
        </row>
        <row r="81">
          <cell r="B81" t="str">
            <v>W. CARROLL</v>
          </cell>
        </row>
        <row r="82">
          <cell r="B82" t="str">
            <v>W. FELICIANA</v>
          </cell>
        </row>
        <row r="83">
          <cell r="B83" t="str">
            <v>WINN</v>
          </cell>
        </row>
      </sheetData>
      <sheetData sheetId="31" refreshError="1"/>
      <sheetData sheetId="32" refreshError="1"/>
      <sheetData sheetId="33" refreshError="1"/>
      <sheetData sheetId="3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Res Bldg Info"/>
      <sheetName val="Acc Bldg Info"/>
      <sheetName val="Subsidy"/>
      <sheetName val="Syndication"/>
      <sheetName val="Unit Info"/>
      <sheetName val="Sources &amp; Uses"/>
      <sheetName val="Calculator"/>
      <sheetName val="Financing Cert"/>
      <sheetName val="Cert of Act Cost"/>
      <sheetName val="Access_Bldgs"/>
      <sheetName val="Find Basis"/>
      <sheetName val="Basis"/>
      <sheetName val="Income"/>
      <sheetName val="ProForma"/>
      <sheetName val="TDC Limits"/>
      <sheetName val="Criteria"/>
      <sheetName val="Cert of Demand"/>
      <sheetName val="Local Jurisdiction"/>
      <sheetName val="Schedule"/>
      <sheetName val="Development Team"/>
      <sheetName val="Forms"/>
      <sheetName val="Non-Profit"/>
      <sheetName val="Ownership Info"/>
      <sheetName val="Site Control"/>
      <sheetName val="Ownership History"/>
      <sheetName val="RD wksht"/>
      <sheetName val="QCT wksht"/>
      <sheetName val="sub_rehab"/>
      <sheetName val="Master Auditor"/>
      <sheetName val="Lists"/>
      <sheetName val="Checklist"/>
      <sheetName val="Print Out"/>
      <sheetName val="FMR 2050"/>
      <sheetName val="FMR 406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19">
          <cell r="B19" t="str">
            <v>select from list</v>
          </cell>
        </row>
        <row r="20">
          <cell r="B20" t="str">
            <v>ACADIA</v>
          </cell>
        </row>
        <row r="21">
          <cell r="B21" t="str">
            <v>ALLEN</v>
          </cell>
        </row>
        <row r="22">
          <cell r="B22" t="str">
            <v>ASCENSION</v>
          </cell>
        </row>
        <row r="23">
          <cell r="B23" t="str">
            <v>ASSUMPTION</v>
          </cell>
        </row>
        <row r="24">
          <cell r="B24" t="str">
            <v>AVOYELLES</v>
          </cell>
        </row>
        <row r="25">
          <cell r="B25" t="str">
            <v>BEAUREGARD</v>
          </cell>
        </row>
        <row r="26">
          <cell r="B26" t="str">
            <v>BIENVILLE</v>
          </cell>
        </row>
        <row r="27">
          <cell r="B27" t="str">
            <v>BOSSIER</v>
          </cell>
        </row>
        <row r="28">
          <cell r="B28" t="str">
            <v>CADDO</v>
          </cell>
        </row>
        <row r="29">
          <cell r="B29" t="str">
            <v>CALCASIEU</v>
          </cell>
        </row>
        <row r="30">
          <cell r="B30" t="str">
            <v>CALDWELL</v>
          </cell>
        </row>
        <row r="31">
          <cell r="B31" t="str">
            <v>CAMERON</v>
          </cell>
        </row>
        <row r="32">
          <cell r="B32" t="str">
            <v>CATAHOULA</v>
          </cell>
        </row>
        <row r="33">
          <cell r="B33" t="str">
            <v>CLAIBORNE</v>
          </cell>
        </row>
        <row r="34">
          <cell r="B34" t="str">
            <v>CONCORDIA</v>
          </cell>
        </row>
        <row r="35">
          <cell r="B35" t="str">
            <v>DESOTO</v>
          </cell>
        </row>
        <row r="36">
          <cell r="B36" t="str">
            <v>E. BATON ROUGE</v>
          </cell>
        </row>
        <row r="37">
          <cell r="B37" t="str">
            <v>EAST CARROLL</v>
          </cell>
        </row>
        <row r="38">
          <cell r="B38" t="str">
            <v>E. FELICIANA</v>
          </cell>
        </row>
        <row r="39">
          <cell r="B39" t="str">
            <v>EVANGELINE</v>
          </cell>
        </row>
        <row r="40">
          <cell r="B40" t="str">
            <v>FRANKLIN</v>
          </cell>
        </row>
        <row r="41">
          <cell r="B41" t="str">
            <v>GRANT</v>
          </cell>
        </row>
        <row r="42">
          <cell r="B42" t="str">
            <v>IBERIA</v>
          </cell>
        </row>
        <row r="43">
          <cell r="B43" t="str">
            <v>IBERVILLE</v>
          </cell>
        </row>
        <row r="44">
          <cell r="B44" t="str">
            <v>JACKSON</v>
          </cell>
        </row>
        <row r="45">
          <cell r="B45" t="str">
            <v>JEFFERSON</v>
          </cell>
        </row>
        <row r="46">
          <cell r="B46" t="str">
            <v>JEFFERSON DAVIS</v>
          </cell>
        </row>
        <row r="47">
          <cell r="B47" t="str">
            <v>LAFAYETTE</v>
          </cell>
        </row>
        <row r="48">
          <cell r="B48" t="str">
            <v>LAFOURCHE</v>
          </cell>
        </row>
        <row r="49">
          <cell r="B49" t="str">
            <v>LASALLE</v>
          </cell>
        </row>
        <row r="50">
          <cell r="B50" t="str">
            <v>LINCOLN</v>
          </cell>
        </row>
        <row r="51">
          <cell r="B51" t="str">
            <v>LIVINGSTON</v>
          </cell>
        </row>
        <row r="52">
          <cell r="B52" t="str">
            <v>MADISON</v>
          </cell>
        </row>
        <row r="53">
          <cell r="B53" t="str">
            <v>MOREHOUSE</v>
          </cell>
        </row>
        <row r="54">
          <cell r="B54" t="str">
            <v>NATCHITOCHES</v>
          </cell>
        </row>
        <row r="55">
          <cell r="B55" t="str">
            <v>ORLEANS</v>
          </cell>
        </row>
        <row r="56">
          <cell r="B56" t="str">
            <v>OUACHITA</v>
          </cell>
        </row>
        <row r="57">
          <cell r="B57" t="str">
            <v>PLAQUEMINES</v>
          </cell>
        </row>
        <row r="58">
          <cell r="B58" t="str">
            <v>POINTE COUPEE</v>
          </cell>
        </row>
        <row r="59">
          <cell r="B59" t="str">
            <v>RAPIDES</v>
          </cell>
        </row>
        <row r="60">
          <cell r="B60" t="str">
            <v>RED RIVER</v>
          </cell>
        </row>
        <row r="61">
          <cell r="B61" t="str">
            <v>RICHLAND</v>
          </cell>
        </row>
        <row r="62">
          <cell r="B62" t="str">
            <v>SABINE</v>
          </cell>
        </row>
        <row r="63">
          <cell r="B63" t="str">
            <v>ST. BERNARD</v>
          </cell>
        </row>
        <row r="64">
          <cell r="B64" t="str">
            <v>ST. CHARLES</v>
          </cell>
        </row>
        <row r="65">
          <cell r="B65" t="str">
            <v>ST. HELENA</v>
          </cell>
        </row>
        <row r="66">
          <cell r="B66" t="str">
            <v>ST. JAMES</v>
          </cell>
        </row>
        <row r="67">
          <cell r="B67" t="str">
            <v>ST. JOHN</v>
          </cell>
        </row>
        <row r="68">
          <cell r="B68" t="str">
            <v>ST. LANDRY</v>
          </cell>
        </row>
        <row r="69">
          <cell r="B69" t="str">
            <v>ST. MARTIN</v>
          </cell>
        </row>
        <row r="70">
          <cell r="B70" t="str">
            <v>ST. MARY</v>
          </cell>
        </row>
        <row r="71">
          <cell r="B71" t="str">
            <v>ST. TAMMANY</v>
          </cell>
        </row>
        <row r="72">
          <cell r="B72" t="str">
            <v>TANGIPAHOA</v>
          </cell>
        </row>
        <row r="73">
          <cell r="B73" t="str">
            <v>TENSAS</v>
          </cell>
        </row>
        <row r="74">
          <cell r="B74" t="str">
            <v>TERREBONNE</v>
          </cell>
        </row>
        <row r="75">
          <cell r="B75" t="str">
            <v>UNION</v>
          </cell>
        </row>
        <row r="76">
          <cell r="B76" t="str">
            <v>VERMILION</v>
          </cell>
        </row>
        <row r="77">
          <cell r="B77" t="str">
            <v>VERNON</v>
          </cell>
        </row>
        <row r="78">
          <cell r="B78" t="str">
            <v>WASHINGTON</v>
          </cell>
        </row>
        <row r="79">
          <cell r="B79" t="str">
            <v>WEBSTER</v>
          </cell>
        </row>
        <row r="80">
          <cell r="B80" t="str">
            <v>W. BATON ROUGE</v>
          </cell>
        </row>
        <row r="81">
          <cell r="B81" t="str">
            <v>W. CARROLL</v>
          </cell>
        </row>
        <row r="82">
          <cell r="B82" t="str">
            <v>W. FELICIANA</v>
          </cell>
        </row>
        <row r="83">
          <cell r="B83" t="str">
            <v>WINN</v>
          </cell>
        </row>
      </sheetData>
      <sheetData sheetId="31" refreshError="1"/>
      <sheetData sheetId="32" refreshError="1"/>
      <sheetData sheetId="33" refreshError="1"/>
      <sheetData sheetId="3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Res Bldg Info"/>
      <sheetName val="Acc Bldg Info"/>
      <sheetName val="Subsidy"/>
      <sheetName val="Syndication"/>
      <sheetName val="Unit Info"/>
      <sheetName val="Sources &amp; Uses"/>
      <sheetName val="Calculator"/>
      <sheetName val="Financing Cert"/>
      <sheetName val="Cert of Act Cost"/>
      <sheetName val="Access_Bldgs"/>
      <sheetName val="Find Basis"/>
      <sheetName val="Basis"/>
      <sheetName val="Income"/>
      <sheetName val="ProForma"/>
      <sheetName val="TDC Limits"/>
      <sheetName val="Criteria"/>
      <sheetName val="Cert of Demand"/>
      <sheetName val="Local Jurisdiction"/>
      <sheetName val="Schedule"/>
      <sheetName val="Development Team"/>
      <sheetName val="Forms"/>
      <sheetName val="Non-Profit"/>
      <sheetName val="Ownership Info"/>
      <sheetName val="Site Control"/>
      <sheetName val="Ownership History"/>
      <sheetName val="RD wksht"/>
      <sheetName val="QCT wksht"/>
      <sheetName val="sub_rehab"/>
      <sheetName val="Master Auditor"/>
      <sheetName val="Lists"/>
      <sheetName val="Checklist"/>
      <sheetName val="Print Out"/>
      <sheetName val="FMR 2050"/>
      <sheetName val="FMR 406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19">
          <cell r="B19" t="str">
            <v>select from list</v>
          </cell>
        </row>
        <row r="20">
          <cell r="B20" t="str">
            <v>ACADIA</v>
          </cell>
        </row>
        <row r="21">
          <cell r="B21" t="str">
            <v>ALLEN</v>
          </cell>
        </row>
        <row r="22">
          <cell r="B22" t="str">
            <v>ASCENSION</v>
          </cell>
        </row>
        <row r="23">
          <cell r="B23" t="str">
            <v>ASSUMPTION</v>
          </cell>
        </row>
        <row r="24">
          <cell r="B24" t="str">
            <v>AVOYELLES</v>
          </cell>
        </row>
        <row r="25">
          <cell r="B25" t="str">
            <v>BEAUREGARD</v>
          </cell>
        </row>
        <row r="26">
          <cell r="B26" t="str">
            <v>BIENVILLE</v>
          </cell>
        </row>
        <row r="27">
          <cell r="B27" t="str">
            <v>BOSSIER</v>
          </cell>
        </row>
        <row r="28">
          <cell r="B28" t="str">
            <v>CADDO</v>
          </cell>
        </row>
        <row r="29">
          <cell r="B29" t="str">
            <v>CALCASIEU</v>
          </cell>
        </row>
        <row r="30">
          <cell r="B30" t="str">
            <v>CALDWELL</v>
          </cell>
        </row>
        <row r="31">
          <cell r="B31" t="str">
            <v>CAMERON</v>
          </cell>
        </row>
        <row r="32">
          <cell r="B32" t="str">
            <v>CATAHOULA</v>
          </cell>
        </row>
        <row r="33">
          <cell r="B33" t="str">
            <v>CLAIBORNE</v>
          </cell>
        </row>
        <row r="34">
          <cell r="B34" t="str">
            <v>CONCORDIA</v>
          </cell>
        </row>
        <row r="35">
          <cell r="B35" t="str">
            <v>DESOTO</v>
          </cell>
        </row>
        <row r="36">
          <cell r="B36" t="str">
            <v>E. BATON ROUGE</v>
          </cell>
        </row>
        <row r="37">
          <cell r="B37" t="str">
            <v>EAST CARROLL</v>
          </cell>
        </row>
        <row r="38">
          <cell r="B38" t="str">
            <v>E. FELICIANA</v>
          </cell>
        </row>
        <row r="39">
          <cell r="B39" t="str">
            <v>EVANGELINE</v>
          </cell>
        </row>
        <row r="40">
          <cell r="B40" t="str">
            <v>FRANKLIN</v>
          </cell>
        </row>
        <row r="41">
          <cell r="B41" t="str">
            <v>GRANT</v>
          </cell>
        </row>
        <row r="42">
          <cell r="B42" t="str">
            <v>IBERIA</v>
          </cell>
        </row>
        <row r="43">
          <cell r="B43" t="str">
            <v>IBERVILLE</v>
          </cell>
        </row>
        <row r="44">
          <cell r="B44" t="str">
            <v>JACKSON</v>
          </cell>
        </row>
        <row r="45">
          <cell r="B45" t="str">
            <v>JEFFERSON</v>
          </cell>
        </row>
        <row r="46">
          <cell r="B46" t="str">
            <v>JEFFERSON DAVIS</v>
          </cell>
        </row>
        <row r="47">
          <cell r="B47" t="str">
            <v>LAFAYETTE</v>
          </cell>
        </row>
        <row r="48">
          <cell r="B48" t="str">
            <v>LAFOURCHE</v>
          </cell>
        </row>
        <row r="49">
          <cell r="B49" t="str">
            <v>LASALLE</v>
          </cell>
        </row>
        <row r="50">
          <cell r="B50" t="str">
            <v>LINCOLN</v>
          </cell>
        </row>
        <row r="51">
          <cell r="B51" t="str">
            <v>LIVINGSTON</v>
          </cell>
        </row>
        <row r="52">
          <cell r="B52" t="str">
            <v>MADISON</v>
          </cell>
        </row>
        <row r="53">
          <cell r="B53" t="str">
            <v>MOREHOUSE</v>
          </cell>
        </row>
        <row r="54">
          <cell r="B54" t="str">
            <v>NATCHITOCHES</v>
          </cell>
        </row>
        <row r="55">
          <cell r="B55" t="str">
            <v>ORLEANS</v>
          </cell>
        </row>
        <row r="56">
          <cell r="B56" t="str">
            <v>OUACHITA</v>
          </cell>
        </row>
        <row r="57">
          <cell r="B57" t="str">
            <v>PLAQUEMINES</v>
          </cell>
        </row>
        <row r="58">
          <cell r="B58" t="str">
            <v>POINTE COUPEE</v>
          </cell>
        </row>
        <row r="59">
          <cell r="B59" t="str">
            <v>RAPIDES</v>
          </cell>
        </row>
        <row r="60">
          <cell r="B60" t="str">
            <v>RED RIVER</v>
          </cell>
        </row>
        <row r="61">
          <cell r="B61" t="str">
            <v>RICHLAND</v>
          </cell>
        </row>
        <row r="62">
          <cell r="B62" t="str">
            <v>SABINE</v>
          </cell>
        </row>
        <row r="63">
          <cell r="B63" t="str">
            <v>ST. BERNARD</v>
          </cell>
        </row>
        <row r="64">
          <cell r="B64" t="str">
            <v>ST. CHARLES</v>
          </cell>
        </row>
        <row r="65">
          <cell r="B65" t="str">
            <v>ST. HELENA</v>
          </cell>
        </row>
        <row r="66">
          <cell r="B66" t="str">
            <v>ST. JAMES</v>
          </cell>
        </row>
        <row r="67">
          <cell r="B67" t="str">
            <v>ST. JOHN</v>
          </cell>
        </row>
        <row r="68">
          <cell r="B68" t="str">
            <v>ST. LANDRY</v>
          </cell>
        </row>
        <row r="69">
          <cell r="B69" t="str">
            <v>ST. MARTIN</v>
          </cell>
        </row>
        <row r="70">
          <cell r="B70" t="str">
            <v>ST. MARY</v>
          </cell>
        </row>
        <row r="71">
          <cell r="B71" t="str">
            <v>ST. TAMMANY</v>
          </cell>
        </row>
        <row r="72">
          <cell r="B72" t="str">
            <v>TANGIPAHOA</v>
          </cell>
        </row>
        <row r="73">
          <cell r="B73" t="str">
            <v>TENSAS</v>
          </cell>
        </row>
        <row r="74">
          <cell r="B74" t="str">
            <v>TERREBONNE</v>
          </cell>
        </row>
        <row r="75">
          <cell r="B75" t="str">
            <v>UNION</v>
          </cell>
        </row>
        <row r="76">
          <cell r="B76" t="str">
            <v>VERMILION</v>
          </cell>
        </row>
        <row r="77">
          <cell r="B77" t="str">
            <v>VERNON</v>
          </cell>
        </row>
        <row r="78">
          <cell r="B78" t="str">
            <v>WASHINGTON</v>
          </cell>
        </row>
        <row r="79">
          <cell r="B79" t="str">
            <v>WEBSTER</v>
          </cell>
        </row>
        <row r="80">
          <cell r="B80" t="str">
            <v>W. BATON ROUGE</v>
          </cell>
        </row>
        <row r="81">
          <cell r="B81" t="str">
            <v>W. CARROLL</v>
          </cell>
        </row>
        <row r="82">
          <cell r="B82" t="str">
            <v>W. FELICIANA</v>
          </cell>
        </row>
        <row r="83">
          <cell r="B83" t="str">
            <v>WINN</v>
          </cell>
        </row>
      </sheetData>
      <sheetData sheetId="31" refreshError="1"/>
      <sheetData sheetId="32" refreshError="1"/>
      <sheetData sheetId="33" refreshError="1"/>
      <sheetData sheetId="3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rimary Input"/>
      <sheetName val="Revised Primary Input"/>
      <sheetName val="Secondary Input"/>
      <sheetName val="Threshold Requirements"/>
      <sheetName val="Rental Income"/>
      <sheetName val="Rehab Construction"/>
      <sheetName val="Reserve Needs"/>
      <sheetName val="Reserve 20 Yr Schedule"/>
      <sheetName val="Syndication"/>
      <sheetName val="Loan Information"/>
      <sheetName val="Sources&amp;Uses"/>
      <sheetName val="Financing Cert"/>
      <sheetName val="Amortization"/>
      <sheetName val="Pro Forma Calculation"/>
      <sheetName val="Pro Forma"/>
      <sheetName val="Building Information"/>
      <sheetName val="Basis Calculation"/>
      <sheetName val="Project Schedule"/>
      <sheetName val="Development Team"/>
      <sheetName val="Revised Development Team"/>
      <sheetName val="Selection Criteria"/>
      <sheetName val="Revised Selection Criteria"/>
      <sheetName val="Auditor"/>
      <sheetName val="Revised Checklist"/>
      <sheetName val="Checklist"/>
      <sheetName val="Certification"/>
      <sheetName val="Appendix 1"/>
      <sheetName val="Appendix 2"/>
      <sheetName val="Appendix 3"/>
      <sheetName val="Appendix 4"/>
      <sheetName val="Appendix 11"/>
      <sheetName val="Appendix 14"/>
      <sheetName val="Appendix 31"/>
      <sheetName val="Appendix 41"/>
      <sheetName val="Appendix 42"/>
      <sheetName val="DemandCert"/>
      <sheetName val="Construction Info"/>
      <sheetName val="CEO Notification"/>
      <sheetName val="EnvironChecklist"/>
      <sheetName val="LHFA Market Study Request"/>
      <sheetName val="Rural Pool"/>
      <sheetName val="Developer Experience"/>
      <sheetName val="Revised Developer Exp"/>
      <sheetName val="Added Management Exp"/>
      <sheetName val="5020"/>
      <sheetName val="406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rimary Input"/>
      <sheetName val="Revised Primary Input"/>
      <sheetName val="Secondary Input"/>
      <sheetName val="Threshold Requirements"/>
      <sheetName val="Rental Income"/>
      <sheetName val="Rehab Construction"/>
      <sheetName val="Reserve Needs"/>
      <sheetName val="Reserve 20 Yr Schedule"/>
      <sheetName val="Syndication"/>
      <sheetName val="Loan Information"/>
      <sheetName val="Sources&amp;Uses"/>
      <sheetName val="Financing Cert"/>
      <sheetName val="Amortization"/>
      <sheetName val="Pro Forma Calculation"/>
      <sheetName val="Pro Forma"/>
      <sheetName val="Building Information"/>
      <sheetName val="Basis Calculation"/>
      <sheetName val="Project Schedule"/>
      <sheetName val="Development Team"/>
      <sheetName val="Revised Development Team"/>
      <sheetName val="Selection Criteria"/>
      <sheetName val="Revised Selection Criteria"/>
      <sheetName val="Auditor"/>
      <sheetName val="Revised Checklist"/>
      <sheetName val="Checklist"/>
      <sheetName val="Certification"/>
      <sheetName val="Appendix 1"/>
      <sheetName val="Appendix 2"/>
      <sheetName val="Appendix 3"/>
      <sheetName val="Appendix 4"/>
      <sheetName val="Appendix 11"/>
      <sheetName val="Appendix 14"/>
      <sheetName val="Appendix 31"/>
      <sheetName val="Appendix 41"/>
      <sheetName val="Appendix 42"/>
      <sheetName val="DemandCert"/>
      <sheetName val="Construction Info"/>
      <sheetName val="CEO Notification"/>
      <sheetName val="EnvironChecklist"/>
      <sheetName val="LHFA Market Study Request"/>
      <sheetName val="Rural Pool"/>
      <sheetName val="Developer Experience"/>
      <sheetName val="Revised Developer Exp"/>
      <sheetName val="Added Management Exp"/>
      <sheetName val="5020"/>
      <sheetName val="406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rimary Input"/>
      <sheetName val="Secondary Input"/>
      <sheetName val="Threshold Requirements"/>
      <sheetName val="Rental Income"/>
      <sheetName val="Rehab Construction"/>
      <sheetName val="Reserve Needs"/>
      <sheetName val="Reserve 20 Yr Schedule"/>
      <sheetName val="Syndication"/>
      <sheetName val="Loan Information"/>
      <sheetName val="Sources&amp;Uses"/>
      <sheetName val="Financing Cert"/>
      <sheetName val="Amortization"/>
      <sheetName val="Pro Forma Calculation"/>
      <sheetName val="Pro Forma"/>
      <sheetName val="Building Information"/>
      <sheetName val="Basis Calculation"/>
      <sheetName val="Project Schedule"/>
      <sheetName val="Development Team"/>
      <sheetName val="Selection Criteria"/>
      <sheetName val="Auditor"/>
      <sheetName val="Checklist"/>
      <sheetName val="Certification"/>
      <sheetName val="Appendix 1"/>
      <sheetName val="Appendix 2"/>
      <sheetName val="Appendix 3"/>
      <sheetName val="Appendix 4"/>
      <sheetName val="Appendix 11"/>
      <sheetName val="Appendix 13"/>
      <sheetName val="Appendix 33"/>
      <sheetName val="Appendix 40"/>
      <sheetName val="Appendix 41"/>
      <sheetName val="Appendix 42"/>
      <sheetName val="DemandCert"/>
      <sheetName val="CEO Notification"/>
      <sheetName val="Developer Experience"/>
      <sheetName val="Management Experience"/>
      <sheetName val="5020"/>
      <sheetName val="4060"/>
    </sheetNames>
    <sheetDataSet>
      <sheetData sheetId="0"/>
      <sheetData sheetId="1">
        <row r="9">
          <cell r="E9" t="str">
            <v>Ouachita</v>
          </cell>
        </row>
        <row r="10">
          <cell r="E10" t="str">
            <v xml:space="preserve">5th </v>
          </cell>
        </row>
      </sheetData>
      <sheetData sheetId="2">
        <row r="10">
          <cell r="E10">
            <v>11</v>
          </cell>
        </row>
      </sheetData>
      <sheetData sheetId="3"/>
      <sheetData sheetId="4"/>
      <sheetData sheetId="5"/>
      <sheetData sheetId="6"/>
      <sheetData sheetId="7"/>
      <sheetData sheetId="8"/>
      <sheetData sheetId="9"/>
      <sheetData sheetId="10">
        <row r="31">
          <cell r="F31">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grade"/>
      <sheetName val="Cover"/>
      <sheetName val="Non-Standard Transactions"/>
      <sheetName val="RC Special Conditions"/>
      <sheetName val="StartInput"/>
      <sheetName val="LoanInput"/>
      <sheetName val="RentInput"/>
      <sheetName val="Input Assumptions"/>
      <sheetName val="HistoricInc&amp;Exp"/>
      <sheetName val="ProjectedInc&amp;Exp"/>
      <sheetName val="Rehab Escrow Needs"/>
      <sheetName val="PCA Needs 20 Year Schedule"/>
      <sheetName val="Reserves 20 Year Schedule"/>
      <sheetName val="PCA &amp; R4R TRACKER"/>
      <sheetName val="GPRCompare"/>
      <sheetName val="EquityReturn"/>
      <sheetName val="2ndLoanProForma"/>
      <sheetName val="DS&amp;LoanSizing"/>
      <sheetName val="Sources&amp;Uses"/>
      <sheetName val="AFT Detailed S&amp;U"/>
      <sheetName val="ODE worksheet"/>
      <sheetName val="Scheduled IRP"/>
      <sheetName val="IRP Application"/>
      <sheetName val="IRP Closing Exhibit"/>
      <sheetName val="Exception Rent"/>
      <sheetName val="Scenario Compare"/>
      <sheetName val="S8 Out-Year Recapture"/>
      <sheetName val="Amort"/>
      <sheetName val="Closing and Post Closing Data"/>
      <sheetName val="Exhibit A"/>
      <sheetName val="Exhibit F"/>
      <sheetName val="RestructuringPlanSummary"/>
      <sheetName val="HQ Loan Summary"/>
      <sheetName val="RestructureSummaryType2"/>
      <sheetName val="Flag Summary"/>
      <sheetName val="5.2 Form Data"/>
      <sheetName val="92273-S8"/>
      <sheetName val="92273-S8 (2)"/>
      <sheetName val="92273-S8 (3)"/>
      <sheetName val="Historic PUPA &amp; Percent Change"/>
      <sheetName val="Historic CapRepair Deductions"/>
      <sheetName val="User Work"/>
      <sheetName val="User Work 2"/>
      <sheetName val="HUD-92013 Page 1"/>
      <sheetName val="HUD-92013 Page 2"/>
      <sheetName val="HUD-92013 Page 3"/>
      <sheetName val="HUD-92013 Page 4"/>
      <sheetName val="HUD-92013 Page 5"/>
      <sheetName val="HUD-92013 Page 6"/>
      <sheetName val="HUD-92013 Page 7"/>
      <sheetName val="HUD-92013 Page 8"/>
      <sheetName val="M2M Export"/>
      <sheetName val="Create MIS Upload worksheet"/>
      <sheetName val="Transmission Memo"/>
      <sheetName val="Extraction"/>
      <sheetName val="Extraction2"/>
      <sheetName val="AsstMgmt Data"/>
      <sheetName val="Do Your Own Upgrade"/>
      <sheetName val="Form 7.19"/>
      <sheetName val="Bifurcated IRP"/>
      <sheetName val="Rev"/>
      <sheetName val="Module1"/>
    </sheetNames>
    <sheetDataSet>
      <sheetData sheetId="0" refreshError="1"/>
      <sheetData sheetId="1" refreshError="1"/>
      <sheetData sheetId="2" refreshError="1"/>
      <sheetData sheetId="3" refreshError="1"/>
      <sheetData sheetId="4" refreshError="1">
        <row r="12">
          <cell r="X12" t="str">
            <v>221(d)4</v>
          </cell>
        </row>
        <row r="13">
          <cell r="X13" t="str">
            <v>221(d)3 BMIR</v>
          </cell>
        </row>
        <row r="14">
          <cell r="X14" t="str">
            <v>221(d)3 Mkt Int Rate</v>
          </cell>
        </row>
        <row r="15">
          <cell r="X15" t="str">
            <v>220</v>
          </cell>
        </row>
        <row r="16">
          <cell r="X16" t="str">
            <v>231</v>
          </cell>
        </row>
        <row r="17">
          <cell r="X17" t="str">
            <v>223 (a)7</v>
          </cell>
        </row>
        <row r="18">
          <cell r="X18" t="str">
            <v>223(f)</v>
          </cell>
        </row>
        <row r="19">
          <cell r="X19" t="str">
            <v>236 Int Rdct Pmts</v>
          </cell>
        </row>
        <row r="20">
          <cell r="X20" t="str">
            <v>Other</v>
          </cell>
        </row>
        <row r="21">
          <cell r="X21" t="str">
            <v>Identity of Interest</v>
          </cell>
        </row>
        <row r="22">
          <cell r="X22" t="str">
            <v>Non-Identity of Interest</v>
          </cell>
        </row>
        <row r="31">
          <cell r="X31" t="str">
            <v>Below Average/Distressed</v>
          </cell>
        </row>
        <row r="32">
          <cell r="X32" t="str">
            <v>Average/Typical</v>
          </cell>
        </row>
        <row r="33">
          <cell r="X33" t="str">
            <v>Above Average/Strong</v>
          </cell>
        </row>
        <row r="120">
          <cell r="AC120" t="str">
            <v>Rural</v>
          </cell>
        </row>
        <row r="121">
          <cell r="AC121" t="str">
            <v>Suburban</v>
          </cell>
        </row>
        <row r="122">
          <cell r="AC122" t="str">
            <v>Urban</v>
          </cell>
          <cell r="AD122" t="str">
            <v>Elderly</v>
          </cell>
        </row>
        <row r="123">
          <cell r="AC123" t="str">
            <v>Urban MSA</v>
          </cell>
          <cell r="AD123" t="str">
            <v>Family</v>
          </cell>
        </row>
        <row r="124">
          <cell r="AC124" t="str">
            <v>Urban Other</v>
          </cell>
        </row>
        <row r="125">
          <cell r="AC125" t="str">
            <v>Not Urban</v>
          </cell>
        </row>
        <row r="126">
          <cell r="AC126" t="str">
            <v>Elevator</v>
          </cell>
        </row>
        <row r="127">
          <cell r="AC127" t="str">
            <v>Garden</v>
          </cell>
        </row>
        <row r="128">
          <cell r="AC128" t="str">
            <v>Mixed</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01">
          <cell r="D101" t="str">
            <v>Yes</v>
          </cell>
        </row>
        <row r="102">
          <cell r="D10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Res Bldg Info"/>
      <sheetName val="Acc Bldg Info"/>
      <sheetName val="Subsidy"/>
      <sheetName val="Syndication"/>
      <sheetName val="Unit Info"/>
      <sheetName val="Sources &amp; Uses"/>
      <sheetName val="Calculator"/>
      <sheetName val="Financing Cert"/>
      <sheetName val="Cert of Act Cost"/>
      <sheetName val="Access_Bldgs"/>
      <sheetName val="Find Basis"/>
      <sheetName val="Basis"/>
      <sheetName val="Income"/>
      <sheetName val="ProForma"/>
      <sheetName val="TDC Limits"/>
      <sheetName val="Criteria"/>
      <sheetName val="Cert of Demand"/>
      <sheetName val="Local Jurisdiction"/>
      <sheetName val="Schedule"/>
      <sheetName val="Development Team"/>
      <sheetName val="Forms"/>
      <sheetName val="Non-Profit"/>
      <sheetName val="Ownership Info"/>
      <sheetName val="Site Control"/>
      <sheetName val="Ownership History"/>
      <sheetName val="RD wksht"/>
      <sheetName val="QCT wksht"/>
      <sheetName val="sub_rehab"/>
      <sheetName val="Master Auditor"/>
      <sheetName val="Lists"/>
      <sheetName val="Checklist"/>
      <sheetName val="Print Out"/>
      <sheetName val="FMR 2050"/>
      <sheetName val="FMR 4060"/>
    </sheetNames>
    <sheetDataSet>
      <sheetData sheetId="0" refreshError="1">
        <row r="212">
          <cell r="I212">
            <v>36416</v>
          </cell>
        </row>
        <row r="214">
          <cell r="I214">
            <v>2200</v>
          </cell>
        </row>
      </sheetData>
      <sheetData sheetId="1"/>
      <sheetData sheetId="2"/>
      <sheetData sheetId="3"/>
      <sheetData sheetId="4"/>
      <sheetData sheetId="5"/>
      <sheetData sheetId="6" refreshError="1">
        <row r="127">
          <cell r="F127">
            <v>2903480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Res Bldg Info"/>
      <sheetName val="Acc Bldg Info"/>
      <sheetName val="Subsidy"/>
      <sheetName val="Syndication"/>
      <sheetName val="Unit Info"/>
      <sheetName val="Sources &amp; Uses"/>
      <sheetName val="Calculator"/>
      <sheetName val="Financing Cert"/>
      <sheetName val="Cert of Act Cost"/>
      <sheetName val="Access_Bldgs"/>
      <sheetName val="Find Basis"/>
      <sheetName val="Basis"/>
      <sheetName val="Income"/>
      <sheetName val="ProForma"/>
      <sheetName val="TDC Limits"/>
      <sheetName val="Criteria"/>
      <sheetName val="Cert of Demand"/>
      <sheetName val="Local Jurisdiction"/>
      <sheetName val="Schedule"/>
      <sheetName val="Development Team"/>
      <sheetName val="Forms"/>
      <sheetName val="Non-Profit"/>
      <sheetName val="Ownership Info"/>
      <sheetName val="Site Control"/>
      <sheetName val="Ownership History"/>
      <sheetName val="RD wksht"/>
      <sheetName val="QCT wksht"/>
      <sheetName val="sub_rehab"/>
      <sheetName val="Master Auditor"/>
      <sheetName val="Lists"/>
      <sheetName val="Checklist"/>
      <sheetName val="Print Out"/>
      <sheetName val="FMR 2050"/>
      <sheetName val="FMR 4060"/>
    </sheetNames>
    <sheetDataSet>
      <sheetData sheetId="0">
        <row r="212">
          <cell r="I212">
            <v>36416</v>
          </cell>
        </row>
        <row r="214">
          <cell r="I214">
            <v>2200</v>
          </cell>
        </row>
      </sheetData>
      <sheetData sheetId="1"/>
      <sheetData sheetId="2"/>
      <sheetData sheetId="3"/>
      <sheetData sheetId="4"/>
      <sheetData sheetId="5"/>
      <sheetData sheetId="6">
        <row r="127">
          <cell r="F127">
            <v>2903480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Res Bldg Info"/>
      <sheetName val="Acc Bldg Info"/>
      <sheetName val="Subsidy"/>
      <sheetName val="Syndication"/>
      <sheetName val="Unit Info"/>
      <sheetName val="Sources &amp; Uses"/>
      <sheetName val="Calculator"/>
      <sheetName val="Financing Cert"/>
      <sheetName val="Cert of Act Cost"/>
      <sheetName val="Access_Bldgs"/>
      <sheetName val="Find Basis"/>
      <sheetName val="Basis"/>
      <sheetName val="Income"/>
      <sheetName val="ProForma"/>
      <sheetName val="TDC Limits"/>
      <sheetName val="Criteria"/>
      <sheetName val="Cert of Demand"/>
      <sheetName val="Local Jurisdiction"/>
      <sheetName val="Schedule"/>
      <sheetName val="Development Team"/>
      <sheetName val="Forms"/>
      <sheetName val="Non-Profit"/>
      <sheetName val="Ownership Info"/>
      <sheetName val="Site Control"/>
      <sheetName val="Ownership History"/>
      <sheetName val="RD wksht"/>
      <sheetName val="QCT wksht"/>
      <sheetName val="sub_rehab"/>
      <sheetName val="Master Auditor"/>
      <sheetName val="Lists"/>
      <sheetName val="Checklist"/>
      <sheetName val="Print Out"/>
      <sheetName val="FMR 2050"/>
      <sheetName val="FMR 4060"/>
    </sheetNames>
    <sheetDataSet>
      <sheetData sheetId="0" refreshError="1">
        <row r="212">
          <cell r="I212">
            <v>36416</v>
          </cell>
        </row>
        <row r="214">
          <cell r="I214">
            <v>2200</v>
          </cell>
        </row>
      </sheetData>
      <sheetData sheetId="1"/>
      <sheetData sheetId="2"/>
      <sheetData sheetId="3"/>
      <sheetData sheetId="4"/>
      <sheetData sheetId="5"/>
      <sheetData sheetId="6" refreshError="1">
        <row r="127">
          <cell r="F127">
            <v>2903480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on-Standard Transactions"/>
      <sheetName val="RC Special Conditions"/>
      <sheetName val="StartInput"/>
      <sheetName val="LoanInput"/>
      <sheetName val="RentInput"/>
      <sheetName val="Input Assumptions"/>
      <sheetName val="HistoricInc&amp;Exp"/>
      <sheetName val="ProjectedInc&amp;Exp"/>
      <sheetName val="Rehab Escrow Needs"/>
      <sheetName val="PCA Needs 20 Year Schedule"/>
      <sheetName val="Reserves 20 Year Schedule"/>
      <sheetName val="PCA &amp; R4R TRACKER"/>
      <sheetName val="GPRCompare"/>
      <sheetName val="EquityReturn"/>
      <sheetName val="2ndLoanProForma"/>
      <sheetName val="DS&amp;LoanSizing"/>
      <sheetName val="Sources&amp;Uses"/>
      <sheetName val="AFT Detailed S&amp;U"/>
      <sheetName val="ODE worksheet"/>
      <sheetName val="Scheduled IRP"/>
      <sheetName val="Bifurcated IRP"/>
      <sheetName val="IRP Application"/>
      <sheetName val="S8 Out-Year Recapture"/>
      <sheetName val="Exception Rent"/>
      <sheetName val="Scenario Compare"/>
      <sheetName val="Amort"/>
      <sheetName val="Closing and Post Closing Data"/>
      <sheetName val="Exhibit A"/>
      <sheetName val="Exhibit F"/>
      <sheetName val="IRP Closing Exhibit"/>
      <sheetName val="RestructuringPlanSummary"/>
      <sheetName val="HQ Loan Summary"/>
      <sheetName val="RestructureSummaryType2"/>
      <sheetName val="Flag Summary"/>
      <sheetName val="5.2 Form Data"/>
      <sheetName val="92273-S8"/>
      <sheetName val="92273-S8 (2)"/>
      <sheetName val="92273-S8 (3)"/>
      <sheetName val="Historic PUPA &amp; Percent Change"/>
      <sheetName val="Historic CapRepair Deductions"/>
      <sheetName val="User Work"/>
      <sheetName val="User Work 2"/>
      <sheetName val="HUD-92013 Page 1"/>
      <sheetName val="HUD-92013 Page 2"/>
      <sheetName val="HUD-92013 Page 3"/>
      <sheetName val="HUD-92013 Page 4"/>
      <sheetName val="HUD-92013 Page 5"/>
      <sheetName val="HUD-92013 Page 6"/>
      <sheetName val="HUD-92013 Page 7"/>
      <sheetName val="HUD-92013 Page 8"/>
      <sheetName val="M2M Export"/>
      <sheetName val="Create MIS Upload worksheet"/>
      <sheetName val="Create Standard Model"/>
      <sheetName val="Form 7.19"/>
      <sheetName val="Transmission Memo"/>
      <sheetName val="Extraction"/>
      <sheetName val="Extraction2"/>
      <sheetName val="AsstMgmt Data"/>
      <sheetName val="Rev"/>
      <sheetName val="Module1"/>
    </sheetNames>
    <sheetDataSet>
      <sheetData sheetId="0" refreshError="1"/>
      <sheetData sheetId="1" refreshError="1"/>
      <sheetData sheetId="2" refreshError="1"/>
      <sheetData sheetId="3" refreshError="1"/>
      <sheetData sheetId="4" refreshError="1">
        <row r="14">
          <cell r="AD14" t="str">
            <v>FHA Insured</v>
          </cell>
        </row>
        <row r="15">
          <cell r="AD15" t="str">
            <v>Conventional</v>
          </cell>
        </row>
        <row r="16">
          <cell r="AD16" t="str">
            <v>HUD Held</v>
          </cell>
        </row>
        <row r="17">
          <cell r="AD17" t="str">
            <v>Risk Shared</v>
          </cell>
        </row>
        <row r="18">
          <cell r="AD18" t="str">
            <v>Other</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81">
          <cell r="AE81">
            <v>1</v>
          </cell>
          <cell r="AF81">
            <v>1</v>
          </cell>
        </row>
        <row r="82">
          <cell r="AE82">
            <v>2</v>
          </cell>
          <cell r="AF82">
            <v>2</v>
          </cell>
        </row>
        <row r="83">
          <cell r="AE83">
            <v>3</v>
          </cell>
          <cell r="AF83">
            <v>3</v>
          </cell>
        </row>
        <row r="84">
          <cell r="AE84">
            <v>4</v>
          </cell>
          <cell r="AF84">
            <v>4</v>
          </cell>
        </row>
        <row r="85">
          <cell r="AF85">
            <v>5</v>
          </cell>
        </row>
        <row r="86">
          <cell r="AF86">
            <v>6</v>
          </cell>
        </row>
        <row r="87">
          <cell r="AF87">
            <v>7</v>
          </cell>
        </row>
        <row r="88">
          <cell r="AF88">
            <v>8</v>
          </cell>
        </row>
        <row r="89">
          <cell r="AF89">
            <v>9</v>
          </cell>
        </row>
        <row r="90">
          <cell r="AF90">
            <v>10</v>
          </cell>
        </row>
        <row r="91">
          <cell r="AF91">
            <v>11</v>
          </cell>
        </row>
        <row r="92">
          <cell r="AF92">
            <v>12</v>
          </cell>
        </row>
        <row r="93">
          <cell r="AF93">
            <v>13</v>
          </cell>
        </row>
        <row r="94">
          <cell r="AF94">
            <v>14</v>
          </cell>
        </row>
        <row r="95">
          <cell r="AF95">
            <v>15</v>
          </cell>
        </row>
        <row r="96">
          <cell r="AF96">
            <v>16</v>
          </cell>
        </row>
        <row r="97">
          <cell r="AF97">
            <v>17</v>
          </cell>
        </row>
        <row r="98">
          <cell r="AF98">
            <v>18</v>
          </cell>
        </row>
        <row r="99">
          <cell r="AF99">
            <v>19</v>
          </cell>
        </row>
        <row r="100">
          <cell r="AF100">
            <v>20</v>
          </cell>
        </row>
        <row r="101">
          <cell r="AF101">
            <v>21</v>
          </cell>
        </row>
        <row r="102">
          <cell r="AF102">
            <v>22</v>
          </cell>
        </row>
        <row r="103">
          <cell r="AF103">
            <v>23</v>
          </cell>
        </row>
        <row r="104">
          <cell r="AF104">
            <v>24</v>
          </cell>
        </row>
        <row r="105">
          <cell r="AF105">
            <v>25</v>
          </cell>
        </row>
        <row r="106">
          <cell r="AF106">
            <v>26</v>
          </cell>
        </row>
        <row r="107">
          <cell r="AF107">
            <v>27</v>
          </cell>
        </row>
        <row r="108">
          <cell r="AF108">
            <v>28</v>
          </cell>
        </row>
        <row r="109">
          <cell r="AF109">
            <v>29</v>
          </cell>
        </row>
        <row r="110">
          <cell r="AF110">
            <v>30</v>
          </cell>
        </row>
        <row r="111">
          <cell r="AF111">
            <v>31</v>
          </cell>
        </row>
        <row r="112">
          <cell r="AF112">
            <v>32</v>
          </cell>
        </row>
        <row r="113">
          <cell r="AF113">
            <v>33</v>
          </cell>
        </row>
        <row r="114">
          <cell r="AF114">
            <v>34</v>
          </cell>
        </row>
        <row r="115">
          <cell r="AF115">
            <v>35</v>
          </cell>
        </row>
        <row r="116">
          <cell r="AF116">
            <v>36</v>
          </cell>
        </row>
        <row r="117">
          <cell r="AF117">
            <v>37</v>
          </cell>
        </row>
        <row r="118">
          <cell r="AF118">
            <v>38</v>
          </cell>
        </row>
        <row r="119">
          <cell r="AF119">
            <v>39</v>
          </cell>
        </row>
        <row r="120">
          <cell r="AF120">
            <v>40</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rimary Input"/>
      <sheetName val="Revised Primary Input"/>
      <sheetName val="Secondary Input"/>
      <sheetName val="Threshold Requirements"/>
      <sheetName val="Revised Threshold Requirements"/>
      <sheetName val="Rental Income"/>
      <sheetName val="Rehab Construction"/>
      <sheetName val="Reserve Needs"/>
      <sheetName val="Reserve 20 Yr Schedule"/>
      <sheetName val="Syndication"/>
      <sheetName val="Loan Information"/>
      <sheetName val="Sources&amp;Uses"/>
      <sheetName val="Financing Cert"/>
      <sheetName val="Amortization"/>
      <sheetName val="Pro Forma Calculation"/>
      <sheetName val="Pro Forma"/>
      <sheetName val="Building Information"/>
      <sheetName val="Basis Calculation"/>
      <sheetName val="Project Schedule"/>
      <sheetName val="Development Team"/>
      <sheetName val="Revised Development Team "/>
      <sheetName val="Selection Criteria"/>
      <sheetName val="Revised Selection Criteria"/>
      <sheetName val="Auditor"/>
      <sheetName val="Revised Checklist"/>
      <sheetName val="Checklist"/>
      <sheetName val="Certification"/>
      <sheetName val="Appendix 1"/>
      <sheetName val="Appendix 2"/>
      <sheetName val="Appendix 3"/>
      <sheetName val="Appendix 4"/>
      <sheetName val="Appendix 11"/>
      <sheetName val="Appendix 13"/>
      <sheetName val="Appendix 41"/>
      <sheetName val="Appendix 42"/>
      <sheetName val="Appendix 44"/>
      <sheetName val="LHFA-1 DemandCert"/>
      <sheetName val="LHFA-2 Construction Info"/>
      <sheetName val="LHFA-3 CEO Notification"/>
      <sheetName val="LHFA-4 EnvironChecklist"/>
      <sheetName val="LHFA-5 Market Study Request"/>
      <sheetName val="DELETE_Rural Pool"/>
      <sheetName val="Delete- Developer Experience"/>
      <sheetName val="LHFA-6 Developer Exp"/>
      <sheetName val="LHFA-7 Management Exp"/>
      <sheetName val="5020"/>
      <sheetName val="406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ow r="3">
          <cell r="A3" t="str">
            <v>07/08(FA)</v>
          </cell>
        </row>
        <row r="4">
          <cell r="A4" t="str">
            <v>07/08(PC)</v>
          </cell>
        </row>
        <row r="5">
          <cell r="A5" t="str">
            <v>2006 2nd Round</v>
          </cell>
        </row>
        <row r="6">
          <cell r="A6" t="str">
            <v>2006 Round</v>
          </cell>
        </row>
        <row r="7">
          <cell r="A7" t="str">
            <v>2008 Lightning Round</v>
          </cell>
        </row>
        <row r="8">
          <cell r="A8" t="str">
            <v>2009 Per Capita</v>
          </cell>
        </row>
        <row r="9">
          <cell r="A9" t="str">
            <v xml:space="preserve">2006 Bond </v>
          </cell>
        </row>
        <row r="10">
          <cell r="A10" t="str">
            <v>2007 Bond</v>
          </cell>
        </row>
        <row r="11">
          <cell r="A11" t="str">
            <v xml:space="preserve">2008 Bond </v>
          </cell>
        </row>
        <row r="12">
          <cell r="A12" t="str">
            <v>2009 Bond</v>
          </cell>
        </row>
      </sheetData>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ow r="3">
          <cell r="A3" t="str">
            <v>07/08(FA)</v>
          </cell>
        </row>
        <row r="4">
          <cell r="A4" t="str">
            <v>07/08(PC)</v>
          </cell>
        </row>
        <row r="5">
          <cell r="A5" t="str">
            <v>2006 2nd Round</v>
          </cell>
        </row>
        <row r="6">
          <cell r="A6" t="str">
            <v>2006 Round</v>
          </cell>
        </row>
        <row r="7">
          <cell r="A7" t="str">
            <v>2008 Lightning Round</v>
          </cell>
        </row>
        <row r="8">
          <cell r="A8" t="str">
            <v>2009 Per Capita</v>
          </cell>
        </row>
        <row r="9">
          <cell r="A9" t="str">
            <v xml:space="preserve">2006 Bond </v>
          </cell>
        </row>
        <row r="10">
          <cell r="A10" t="str">
            <v>2007 Bond</v>
          </cell>
        </row>
        <row r="11">
          <cell r="A11" t="str">
            <v xml:space="preserve">2008 Bond </v>
          </cell>
        </row>
        <row r="12">
          <cell r="A12" t="str">
            <v>2009 Bond</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4.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5.bin"/><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9.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eligibility.sc.egov.usda.gov/eligibility/welcomeAction.do?pageAction=sfp&amp;NavKey=property@12"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3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vmlDrawing" Target="../drawings/vmlDrawing14.vml"/></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6.xml"/><Relationship Id="rId1" Type="http://schemas.openxmlformats.org/officeDocument/2006/relationships/printerSettings" Target="../printerSettings/printerSettings37.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vmlDrawing" Target="../drawings/vmlDrawing16.vml"/></Relationships>
</file>

<file path=xl/worksheets/_rels/sheet38.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7.vml"/></Relationships>
</file>

<file path=xl/worksheets/_rels/sheet3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8.v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J46"/>
  <sheetViews>
    <sheetView zoomScaleNormal="100" workbookViewId="0">
      <selection activeCell="H5" sqref="H5"/>
    </sheetView>
  </sheetViews>
  <sheetFormatPr baseColWidth="10" defaultColWidth="9.1640625" defaultRowHeight="13"/>
  <cols>
    <col min="1" max="2" width="3.6640625" style="190" customWidth="1"/>
    <col min="3" max="6" width="9.1640625" style="190"/>
    <col min="7" max="7" width="17.33203125" style="190" customWidth="1"/>
    <col min="8" max="8" width="29.5" style="190" customWidth="1"/>
    <col min="9" max="10" width="3.6640625" style="190" customWidth="1"/>
    <col min="11" max="16384" width="9.1640625" style="190"/>
  </cols>
  <sheetData>
    <row r="1" spans="1:10" ht="17.25" customHeight="1">
      <c r="A1" s="381" t="s">
        <v>357</v>
      </c>
      <c r="B1" s="197"/>
      <c r="C1" s="122"/>
      <c r="D1" s="122"/>
      <c r="E1" s="122"/>
      <c r="F1" s="122"/>
      <c r="G1" s="122"/>
      <c r="H1" s="879">
        <f>+Name</f>
        <v>0</v>
      </c>
      <c r="I1" s="122"/>
    </row>
    <row r="2" spans="1:10" ht="45" customHeight="1">
      <c r="B2" s="1318" t="s">
        <v>2015</v>
      </c>
      <c r="C2" s="1319"/>
      <c r="D2" s="1319"/>
      <c r="E2" s="1319"/>
      <c r="F2" s="1319"/>
      <c r="G2" s="1319"/>
      <c r="H2" s="1319"/>
      <c r="I2" s="1320"/>
    </row>
    <row r="3" spans="1:10" ht="18.75" customHeight="1"/>
    <row r="4" spans="1:10" ht="39" customHeight="1">
      <c r="B4" s="1321" t="s">
        <v>2035</v>
      </c>
      <c r="C4" s="1322"/>
      <c r="D4" s="1322"/>
      <c r="E4" s="1322"/>
      <c r="F4" s="1322"/>
      <c r="G4" s="1322"/>
      <c r="H4" s="1322"/>
      <c r="I4" s="1323"/>
    </row>
    <row r="5" spans="1:10" ht="33.75" customHeight="1">
      <c r="B5" s="122"/>
      <c r="C5" s="808" t="s">
        <v>489</v>
      </c>
      <c r="D5" s="809"/>
      <c r="E5" s="809"/>
      <c r="F5" s="810"/>
      <c r="G5" s="810"/>
      <c r="H5" s="1122">
        <v>2016</v>
      </c>
      <c r="I5" s="122"/>
    </row>
    <row r="6" spans="1:10" ht="18.75" customHeight="1">
      <c r="B6" s="122"/>
      <c r="C6" s="222" t="s">
        <v>203</v>
      </c>
      <c r="D6" s="859">
        <v>1.9</v>
      </c>
      <c r="E6" s="192"/>
      <c r="F6" s="122"/>
      <c r="G6" s="340" t="s">
        <v>1617</v>
      </c>
      <c r="H6" s="373" t="e">
        <f>ABS(INT(Amortization!T21))</f>
        <v>#N/A</v>
      </c>
      <c r="I6" s="122"/>
    </row>
    <row r="7" spans="1:10" ht="6.75" customHeight="1">
      <c r="B7" s="122"/>
      <c r="C7" s="224"/>
      <c r="D7" s="192"/>
      <c r="E7" s="192"/>
      <c r="F7" s="122"/>
      <c r="G7" s="122"/>
      <c r="H7" s="223"/>
      <c r="I7" s="122"/>
    </row>
    <row r="8" spans="1:10" ht="16">
      <c r="B8" s="122"/>
      <c r="C8" s="192"/>
      <c r="D8" s="192"/>
      <c r="E8" s="192"/>
      <c r="F8" s="122"/>
      <c r="G8" s="122"/>
      <c r="H8" s="122"/>
      <c r="I8" s="122"/>
    </row>
    <row r="9" spans="1:10" ht="18">
      <c r="B9" s="122"/>
      <c r="C9" s="122"/>
      <c r="D9" s="225" t="s">
        <v>379</v>
      </c>
      <c r="E9" s="1317">
        <f>+'Primary Input'!E6</f>
        <v>0</v>
      </c>
      <c r="F9" s="1317"/>
      <c r="G9" s="1317"/>
      <c r="H9" s="1317"/>
      <c r="I9" s="122"/>
    </row>
    <row r="10" spans="1:10" ht="18">
      <c r="B10" s="122"/>
      <c r="C10" s="226"/>
      <c r="D10" s="225" t="s">
        <v>370</v>
      </c>
      <c r="E10" s="1317">
        <f>+'Primary Input'!E9</f>
        <v>0</v>
      </c>
      <c r="F10" s="1317"/>
      <c r="G10" s="1317"/>
      <c r="H10" s="1317"/>
      <c r="I10" s="206"/>
      <c r="J10" s="927"/>
    </row>
    <row r="11" spans="1:10" ht="7.5" customHeight="1">
      <c r="B11" s="122"/>
      <c r="C11" s="1127" t="s">
        <v>1775</v>
      </c>
      <c r="D11" s="226"/>
      <c r="E11" s="226"/>
      <c r="F11" s="226"/>
      <c r="G11" s="226"/>
      <c r="H11" s="226"/>
      <c r="I11" s="928" t="s">
        <v>1771</v>
      </c>
      <c r="J11" s="928"/>
    </row>
    <row r="12" spans="1:10" ht="16">
      <c r="B12" s="122"/>
      <c r="C12" s="1316" t="s">
        <v>289</v>
      </c>
      <c r="D12" s="1316"/>
      <c r="E12" s="1316"/>
      <c r="F12" s="1316"/>
      <c r="G12" s="1316"/>
      <c r="H12" s="1125">
        <v>41514</v>
      </c>
      <c r="I12" s="928" t="s">
        <v>1772</v>
      </c>
      <c r="J12" s="928"/>
    </row>
    <row r="13" spans="1:10" ht="16">
      <c r="B13" s="122"/>
      <c r="C13" s="227"/>
      <c r="D13" s="227"/>
      <c r="E13" s="213"/>
      <c r="F13" s="122"/>
      <c r="G13" s="122"/>
      <c r="H13" s="122"/>
      <c r="I13" s="928" t="s">
        <v>1773</v>
      </c>
      <c r="J13" s="927"/>
    </row>
    <row r="14" spans="1:10" ht="16">
      <c r="B14" s="122"/>
      <c r="C14" s="227"/>
      <c r="D14" s="227"/>
      <c r="E14" s="213"/>
      <c r="F14" s="122"/>
      <c r="G14" s="122"/>
      <c r="H14" s="122"/>
      <c r="I14" s="928" t="s">
        <v>1774</v>
      </c>
      <c r="J14" s="927"/>
    </row>
    <row r="15" spans="1:10">
      <c r="B15" s="122"/>
      <c r="C15" s="227"/>
      <c r="D15" s="227"/>
      <c r="E15" s="213"/>
      <c r="F15" s="122"/>
      <c r="G15" s="122"/>
      <c r="H15" s="122"/>
      <c r="I15" s="929" t="s">
        <v>1561</v>
      </c>
      <c r="J15" s="927"/>
    </row>
    <row r="16" spans="1:10">
      <c r="B16" s="122"/>
      <c r="C16" s="227"/>
      <c r="D16" s="227"/>
      <c r="E16" s="213"/>
      <c r="F16" s="122"/>
      <c r="G16" s="122"/>
      <c r="H16" s="122"/>
      <c r="I16" s="929"/>
      <c r="J16" s="927"/>
    </row>
    <row r="17" spans="2:10">
      <c r="B17" s="122"/>
      <c r="C17" s="227"/>
      <c r="D17" s="227"/>
      <c r="E17" s="213"/>
      <c r="F17" s="122"/>
      <c r="G17" s="122"/>
      <c r="H17" s="122"/>
      <c r="I17" s="929"/>
      <c r="J17" s="927"/>
    </row>
    <row r="18" spans="2:10">
      <c r="B18" s="122"/>
      <c r="C18" s="227"/>
      <c r="D18" s="227"/>
      <c r="E18" s="213"/>
      <c r="F18" s="122"/>
      <c r="G18" s="122"/>
      <c r="H18" s="122"/>
      <c r="I18" s="929"/>
      <c r="J18" s="927"/>
    </row>
    <row r="19" spans="2:10">
      <c r="B19" s="122"/>
      <c r="C19" s="227"/>
      <c r="D19" s="227"/>
      <c r="E19" s="213"/>
      <c r="F19" s="122"/>
      <c r="G19" s="122"/>
      <c r="H19" s="122"/>
      <c r="I19" s="207"/>
      <c r="J19" s="208"/>
    </row>
    <row r="20" spans="2:10">
      <c r="B20" s="122"/>
      <c r="C20" s="227"/>
      <c r="D20" s="227"/>
      <c r="E20" s="213"/>
      <c r="F20" s="122"/>
      <c r="G20" s="122"/>
      <c r="H20" s="122"/>
      <c r="I20" s="207"/>
      <c r="J20" s="208"/>
    </row>
    <row r="21" spans="2:10">
      <c r="B21" s="122"/>
      <c r="C21" s="227"/>
      <c r="D21" s="227"/>
      <c r="E21" s="213"/>
      <c r="F21" s="122"/>
      <c r="G21" s="122"/>
      <c r="H21" s="122"/>
      <c r="I21" s="207"/>
      <c r="J21" s="208"/>
    </row>
    <row r="22" spans="2:10">
      <c r="B22" s="122"/>
      <c r="C22" s="227"/>
      <c r="D22" s="227"/>
      <c r="E22" s="213"/>
      <c r="F22" s="122"/>
      <c r="G22" s="122"/>
      <c r="H22" s="122"/>
      <c r="I22" s="207"/>
      <c r="J22" s="208"/>
    </row>
    <row r="23" spans="2:10">
      <c r="B23" s="122"/>
      <c r="C23" s="227"/>
      <c r="D23" s="227"/>
      <c r="E23" s="213"/>
      <c r="F23" s="122"/>
      <c r="G23" s="122"/>
      <c r="H23" s="122"/>
      <c r="I23" s="207"/>
      <c r="J23" s="208"/>
    </row>
    <row r="24" spans="2:10">
      <c r="B24" s="122"/>
      <c r="C24" s="227"/>
      <c r="D24" s="227"/>
      <c r="E24" s="213"/>
      <c r="F24" s="122"/>
      <c r="G24" s="122"/>
      <c r="H24" s="122"/>
      <c r="I24" s="207"/>
      <c r="J24" s="208"/>
    </row>
    <row r="25" spans="2:10">
      <c r="B25" s="122"/>
      <c r="C25" s="227"/>
      <c r="D25" s="227"/>
      <c r="E25" s="213"/>
      <c r="F25" s="122"/>
      <c r="G25" s="122"/>
      <c r="H25" s="122"/>
      <c r="I25" s="207"/>
      <c r="J25" s="208"/>
    </row>
    <row r="26" spans="2:10">
      <c r="B26" s="122"/>
      <c r="C26" s="227"/>
      <c r="D26" s="227"/>
      <c r="E26" s="213"/>
      <c r="F26" s="122"/>
      <c r="G26" s="122"/>
      <c r="H26" s="122"/>
      <c r="I26" s="207"/>
      <c r="J26" s="208"/>
    </row>
    <row r="27" spans="2:10">
      <c r="B27" s="122"/>
      <c r="C27" s="227"/>
      <c r="D27" s="227"/>
      <c r="E27" s="213"/>
      <c r="F27" s="122"/>
      <c r="G27" s="122"/>
      <c r="H27" s="122"/>
      <c r="I27" s="207"/>
      <c r="J27" s="208"/>
    </row>
    <row r="28" spans="2:10">
      <c r="B28" s="122"/>
      <c r="C28" s="227"/>
      <c r="D28" s="227"/>
      <c r="E28" s="213"/>
      <c r="F28" s="122"/>
      <c r="G28" s="122"/>
      <c r="H28" s="122"/>
      <c r="I28" s="207"/>
      <c r="J28" s="208"/>
    </row>
    <row r="29" spans="2:10">
      <c r="B29" s="122"/>
      <c r="C29" s="227"/>
      <c r="D29" s="227"/>
      <c r="E29" s="213"/>
      <c r="F29" s="122"/>
      <c r="G29" s="122"/>
      <c r="H29" s="122"/>
      <c r="I29" s="207"/>
      <c r="J29" s="208"/>
    </row>
    <row r="30" spans="2:10">
      <c r="B30" s="122"/>
      <c r="C30" s="227"/>
      <c r="D30" s="227"/>
      <c r="E30" s="213"/>
      <c r="F30" s="122"/>
      <c r="G30" s="122"/>
      <c r="H30" s="122"/>
      <c r="I30" s="207"/>
      <c r="J30" s="208"/>
    </row>
    <row r="31" spans="2:10">
      <c r="B31" s="122"/>
      <c r="C31" s="227"/>
      <c r="D31" s="227"/>
      <c r="E31" s="213"/>
      <c r="F31" s="122"/>
      <c r="G31" s="122"/>
      <c r="H31" s="122"/>
      <c r="I31" s="207"/>
      <c r="J31" s="208"/>
    </row>
    <row r="32" spans="2:10">
      <c r="B32" s="122"/>
      <c r="C32" s="227"/>
      <c r="D32" s="227"/>
      <c r="E32" s="213"/>
      <c r="F32" s="122"/>
      <c r="G32" s="122"/>
      <c r="H32" s="122"/>
      <c r="I32" s="207"/>
      <c r="J32" s="208"/>
    </row>
    <row r="33" spans="2:10">
      <c r="B33" s="122"/>
      <c r="C33" s="227"/>
      <c r="D33" s="227"/>
      <c r="E33" s="213"/>
      <c r="F33" s="122"/>
      <c r="G33" s="122"/>
      <c r="H33" s="122"/>
      <c r="I33" s="207"/>
      <c r="J33" s="208"/>
    </row>
    <row r="34" spans="2:10">
      <c r="B34" s="122"/>
      <c r="C34" s="227"/>
      <c r="D34" s="227"/>
      <c r="E34" s="213"/>
      <c r="F34" s="122"/>
      <c r="G34" s="122"/>
      <c r="H34" s="122"/>
      <c r="I34" s="207"/>
      <c r="J34" s="208"/>
    </row>
    <row r="35" spans="2:10">
      <c r="B35" s="122"/>
      <c r="C35" s="227"/>
      <c r="D35" s="227"/>
      <c r="E35" s="213"/>
      <c r="F35" s="122"/>
      <c r="G35" s="122"/>
      <c r="H35" s="122"/>
      <c r="I35" s="207"/>
      <c r="J35" s="208"/>
    </row>
    <row r="36" spans="2:10">
      <c r="B36" s="122"/>
      <c r="C36" s="227"/>
      <c r="D36" s="227"/>
      <c r="E36" s="213"/>
      <c r="F36" s="122"/>
      <c r="G36" s="122"/>
      <c r="H36" s="122"/>
      <c r="I36" s="207"/>
      <c r="J36" s="208"/>
    </row>
    <row r="37" spans="2:10">
      <c r="B37" s="122"/>
      <c r="C37" s="227"/>
      <c r="D37" s="227"/>
      <c r="E37" s="213"/>
      <c r="F37" s="122"/>
      <c r="G37" s="122"/>
      <c r="H37" s="122"/>
      <c r="I37" s="207"/>
      <c r="J37" s="208"/>
    </row>
    <row r="38" spans="2:10">
      <c r="B38" s="122"/>
      <c r="C38" s="227"/>
      <c r="D38" s="227"/>
      <c r="E38" s="213"/>
      <c r="F38" s="122"/>
      <c r="G38" s="122"/>
      <c r="H38" s="122"/>
      <c r="I38" s="207"/>
      <c r="J38" s="208"/>
    </row>
    <row r="39" spans="2:10">
      <c r="B39" s="122"/>
      <c r="C39" s="227"/>
      <c r="D39" s="227"/>
      <c r="E39" s="213"/>
      <c r="F39" s="122"/>
      <c r="G39" s="122"/>
      <c r="H39" s="122"/>
      <c r="I39" s="207"/>
      <c r="J39" s="208"/>
    </row>
    <row r="40" spans="2:10">
      <c r="B40" s="122"/>
      <c r="C40" s="227"/>
      <c r="D40" s="227"/>
      <c r="E40" s="213"/>
      <c r="F40" s="122"/>
      <c r="G40" s="122"/>
      <c r="H40" s="122"/>
      <c r="I40" s="207"/>
      <c r="J40" s="208"/>
    </row>
    <row r="41" spans="2:10">
      <c r="B41" s="122"/>
      <c r="C41" s="227"/>
      <c r="D41" s="227"/>
      <c r="E41" s="213"/>
      <c r="F41" s="122"/>
      <c r="G41" s="122"/>
      <c r="H41" s="122"/>
      <c r="I41" s="207"/>
      <c r="J41" s="208"/>
    </row>
    <row r="42" spans="2:10">
      <c r="B42" s="122"/>
      <c r="C42" s="227"/>
      <c r="D42" s="227"/>
      <c r="E42" s="213"/>
      <c r="F42" s="122"/>
      <c r="G42" s="122"/>
      <c r="H42" s="122"/>
      <c r="I42" s="207"/>
      <c r="J42" s="208"/>
    </row>
    <row r="43" spans="2:10">
      <c r="B43" s="122"/>
      <c r="C43" s="699" t="str">
        <f ca="1">PROPER(CELL("filename"))</f>
        <v>/Users/Nnatt/Downloads/[2016Homeamecmodel.Xlsx]Selection Criteria</v>
      </c>
      <c r="D43" s="227"/>
      <c r="E43" s="213"/>
      <c r="F43" s="122"/>
      <c r="G43" s="122"/>
      <c r="H43" s="122"/>
      <c r="I43" s="207"/>
      <c r="J43" s="208"/>
    </row>
    <row r="44" spans="2:10" ht="12.75" customHeight="1">
      <c r="B44" s="122"/>
      <c r="C44" s="227"/>
      <c r="D44" s="227"/>
      <c r="E44" s="213"/>
      <c r="F44" s="122"/>
      <c r="G44" s="122"/>
      <c r="H44" s="122"/>
      <c r="I44" s="207"/>
      <c r="J44" s="208"/>
    </row>
    <row r="45" spans="2:10">
      <c r="B45" s="122"/>
      <c r="C45" s="227"/>
      <c r="D45" s="227"/>
      <c r="E45" s="213"/>
      <c r="F45" s="122"/>
      <c r="G45" s="122"/>
      <c r="H45" s="122"/>
      <c r="I45" s="207"/>
      <c r="J45" s="208"/>
    </row>
    <row r="46" spans="2:10">
      <c r="B46" s="122"/>
      <c r="C46" s="227"/>
      <c r="D46" s="227"/>
      <c r="E46" s="213"/>
      <c r="F46" s="122"/>
      <c r="G46" s="122"/>
      <c r="H46" s="122"/>
      <c r="I46" s="207"/>
      <c r="J46" s="208"/>
    </row>
  </sheetData>
  <mergeCells count="5">
    <mergeCell ref="C12:G12"/>
    <mergeCell ref="E9:H9"/>
    <mergeCell ref="E10:H10"/>
    <mergeCell ref="B2:I2"/>
    <mergeCell ref="B4:I4"/>
  </mergeCells>
  <phoneticPr fontId="0" type="noConversion"/>
  <printOptions horizontalCentered="1" verticalCentered="1"/>
  <pageMargins left="0.75" right="0.75" top="1" bottom="1" header="0.5" footer="0.5"/>
  <pageSetup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dimension ref="A1:E46"/>
  <sheetViews>
    <sheetView zoomScaleNormal="100" workbookViewId="0">
      <selection activeCell="L5" sqref="L5"/>
    </sheetView>
  </sheetViews>
  <sheetFormatPr baseColWidth="10" defaultColWidth="9.1640625" defaultRowHeight="13"/>
  <cols>
    <col min="1" max="1" width="3.6640625" style="404" customWidth="1"/>
    <col min="2" max="4" width="12.6640625" style="404" customWidth="1"/>
    <col min="5" max="5" width="36.6640625" style="404" customWidth="1"/>
    <col min="6" max="6" width="3.6640625" style="404" customWidth="1"/>
    <col min="7" max="16384" width="9.1640625" style="404"/>
  </cols>
  <sheetData>
    <row r="1" spans="1:5" ht="19" thickBot="1">
      <c r="A1" s="416" t="s">
        <v>1593</v>
      </c>
      <c r="B1" s="417"/>
      <c r="C1" s="408"/>
      <c r="D1" s="879">
        <f>+Name</f>
        <v>0</v>
      </c>
      <c r="E1" s="374" t="e">
        <f>Cover!$H$6</f>
        <v>#N/A</v>
      </c>
    </row>
    <row r="2" spans="1:5" ht="15" thickTop="1" thickBot="1">
      <c r="A2" s="408"/>
      <c r="B2" s="405" t="s">
        <v>106</v>
      </c>
      <c r="C2" s="406"/>
      <c r="D2" s="406"/>
      <c r="E2" s="407"/>
    </row>
    <row r="3" spans="1:5" ht="14" thickTop="1">
      <c r="A3" s="408"/>
      <c r="B3" s="1477" t="s">
        <v>1387</v>
      </c>
      <c r="C3" s="1477"/>
      <c r="D3" s="1477"/>
      <c r="E3" s="411"/>
    </row>
    <row r="4" spans="1:5">
      <c r="A4" s="408"/>
      <c r="B4" s="1478" t="s">
        <v>1388</v>
      </c>
      <c r="C4" s="1478"/>
      <c r="D4" s="1478"/>
      <c r="E4" s="412"/>
    </row>
    <row r="5" spans="1:5">
      <c r="A5" s="408"/>
      <c r="B5" s="1478" t="s">
        <v>1389</v>
      </c>
      <c r="C5" s="1478"/>
      <c r="D5" s="1478"/>
      <c r="E5" s="412">
        <f>+E4</f>
        <v>0</v>
      </c>
    </row>
    <row r="6" spans="1:5">
      <c r="A6" s="408"/>
      <c r="B6" s="1478" t="s">
        <v>1390</v>
      </c>
      <c r="C6" s="1478"/>
      <c r="D6" s="1478"/>
      <c r="E6" s="413"/>
    </row>
    <row r="7" spans="1:5">
      <c r="A7" s="408"/>
      <c r="B7" s="1478" t="s">
        <v>831</v>
      </c>
      <c r="C7" s="1478"/>
      <c r="D7" s="1478"/>
      <c r="E7" s="413"/>
    </row>
    <row r="8" spans="1:5">
      <c r="A8" s="408"/>
      <c r="B8" s="1478" t="s">
        <v>832</v>
      </c>
      <c r="C8" s="1478"/>
      <c r="D8" s="1478"/>
      <c r="E8" s="414"/>
    </row>
    <row r="9" spans="1:5">
      <c r="A9" s="408"/>
      <c r="B9" s="1478" t="s">
        <v>833</v>
      </c>
      <c r="C9" s="1478"/>
      <c r="D9" s="1478"/>
      <c r="E9" s="415"/>
    </row>
    <row r="10" spans="1:5">
      <c r="A10" s="408"/>
      <c r="B10" s="1478" t="s">
        <v>107</v>
      </c>
      <c r="C10" s="1478"/>
      <c r="D10" s="1478"/>
      <c r="E10" s="412">
        <f>+E12/12</f>
        <v>0</v>
      </c>
    </row>
    <row r="11" spans="1:5">
      <c r="A11" s="408"/>
      <c r="B11" s="1479"/>
      <c r="C11" s="1480"/>
      <c r="D11" s="1481"/>
      <c r="E11" s="412"/>
    </row>
    <row r="12" spans="1:5">
      <c r="A12" s="408"/>
      <c r="B12" s="1478" t="s">
        <v>101</v>
      </c>
      <c r="C12" s="1478"/>
      <c r="D12" s="1478"/>
      <c r="E12" s="412">
        <f>IF(E8&gt;0, -PMT(E8/12,E9*12,E4), 0)*12</f>
        <v>0</v>
      </c>
    </row>
    <row r="13" spans="1:5">
      <c r="A13" s="408"/>
      <c r="B13" s="1478" t="s">
        <v>102</v>
      </c>
      <c r="C13" s="1478"/>
      <c r="D13" s="1478"/>
      <c r="E13" s="415">
        <f>+E3</f>
        <v>0</v>
      </c>
    </row>
    <row r="14" spans="1:5">
      <c r="A14" s="408"/>
      <c r="B14" s="1478" t="s">
        <v>103</v>
      </c>
      <c r="C14" s="1478"/>
      <c r="D14" s="1478"/>
      <c r="E14" s="414"/>
    </row>
    <row r="15" spans="1:5">
      <c r="A15" s="408"/>
      <c r="B15" s="1478" t="s">
        <v>104</v>
      </c>
      <c r="C15" s="1478"/>
      <c r="D15" s="1478"/>
      <c r="E15" s="413"/>
    </row>
    <row r="16" spans="1:5">
      <c r="A16" s="408"/>
      <c r="B16" s="1478" t="s">
        <v>1615</v>
      </c>
      <c r="C16" s="1478"/>
      <c r="D16" s="1478"/>
      <c r="E16" s="415"/>
    </row>
    <row r="17" spans="1:5">
      <c r="A17" s="408"/>
      <c r="B17" s="1478" t="s">
        <v>105</v>
      </c>
      <c r="C17" s="1478"/>
      <c r="D17" s="1478"/>
      <c r="E17" s="413"/>
    </row>
    <row r="18" spans="1:5" ht="14" thickBot="1">
      <c r="A18" s="418"/>
      <c r="B18" s="329"/>
      <c r="C18" s="329"/>
      <c r="D18" s="329"/>
      <c r="E18" s="329"/>
    </row>
    <row r="19" spans="1:5" ht="15" thickTop="1" thickBot="1">
      <c r="A19" s="408"/>
      <c r="B19" s="405" t="s">
        <v>1386</v>
      </c>
      <c r="C19" s="406"/>
      <c r="D19" s="406"/>
      <c r="E19" s="407"/>
    </row>
    <row r="20" spans="1:5" ht="14" thickTop="1">
      <c r="A20" s="408"/>
      <c r="B20" s="1477" t="s">
        <v>1387</v>
      </c>
      <c r="C20" s="1477"/>
      <c r="D20" s="1477"/>
      <c r="E20" s="411"/>
    </row>
    <row r="21" spans="1:5">
      <c r="A21" s="408"/>
      <c r="B21" s="1478" t="s">
        <v>1388</v>
      </c>
      <c r="C21" s="1478"/>
      <c r="D21" s="1478"/>
      <c r="E21" s="412"/>
    </row>
    <row r="22" spans="1:5">
      <c r="A22" s="408"/>
      <c r="B22" s="1478" t="s">
        <v>1389</v>
      </c>
      <c r="C22" s="1478"/>
      <c r="D22" s="1478"/>
      <c r="E22" s="412">
        <f>+E21</f>
        <v>0</v>
      </c>
    </row>
    <row r="23" spans="1:5">
      <c r="A23" s="408"/>
      <c r="B23" s="1478" t="s">
        <v>1390</v>
      </c>
      <c r="C23" s="1478"/>
      <c r="D23" s="1478"/>
      <c r="E23" s="413"/>
    </row>
    <row r="24" spans="1:5">
      <c r="A24" s="408"/>
      <c r="B24" s="1478" t="s">
        <v>831</v>
      </c>
      <c r="C24" s="1478"/>
      <c r="D24" s="1478"/>
      <c r="E24" s="413"/>
    </row>
    <row r="25" spans="1:5">
      <c r="A25" s="408"/>
      <c r="B25" s="1478" t="s">
        <v>832</v>
      </c>
      <c r="C25" s="1478"/>
      <c r="D25" s="1478"/>
      <c r="E25" s="414"/>
    </row>
    <row r="26" spans="1:5">
      <c r="A26" s="408"/>
      <c r="B26" s="1478" t="s">
        <v>833</v>
      </c>
      <c r="C26" s="1478"/>
      <c r="D26" s="1478"/>
      <c r="E26" s="415"/>
    </row>
    <row r="27" spans="1:5">
      <c r="A27" s="408"/>
      <c r="B27" s="1478" t="s">
        <v>107</v>
      </c>
      <c r="C27" s="1478"/>
      <c r="D27" s="1478"/>
      <c r="E27" s="412">
        <f>+E29/12</f>
        <v>0</v>
      </c>
    </row>
    <row r="28" spans="1:5">
      <c r="A28" s="408"/>
      <c r="B28" s="1478"/>
      <c r="C28" s="1478"/>
      <c r="D28" s="1478"/>
      <c r="E28" s="412"/>
    </row>
    <row r="29" spans="1:5">
      <c r="A29" s="408"/>
      <c r="B29" s="1478" t="s">
        <v>101</v>
      </c>
      <c r="C29" s="1478"/>
      <c r="D29" s="1478"/>
      <c r="E29" s="412">
        <f>IF(E25&gt;0, -PMT(E25/12,E26*12,E21), 0)*12</f>
        <v>0</v>
      </c>
    </row>
    <row r="30" spans="1:5">
      <c r="A30" s="408"/>
      <c r="B30" s="1478" t="s">
        <v>102</v>
      </c>
      <c r="C30" s="1478"/>
      <c r="D30" s="1478"/>
      <c r="E30" s="415">
        <f>+E20</f>
        <v>0</v>
      </c>
    </row>
    <row r="31" spans="1:5">
      <c r="A31" s="408"/>
      <c r="B31" s="1478" t="s">
        <v>103</v>
      </c>
      <c r="C31" s="1478"/>
      <c r="D31" s="1478"/>
      <c r="E31" s="414"/>
    </row>
    <row r="32" spans="1:5">
      <c r="A32" s="408"/>
      <c r="B32" s="1478" t="s">
        <v>104</v>
      </c>
      <c r="C32" s="1478"/>
      <c r="D32" s="1478"/>
      <c r="E32" s="413"/>
    </row>
    <row r="33" spans="1:5">
      <c r="A33" s="408"/>
      <c r="B33" s="1478" t="s">
        <v>1615</v>
      </c>
      <c r="C33" s="1478"/>
      <c r="D33" s="1478"/>
      <c r="E33" s="415"/>
    </row>
    <row r="34" spans="1:5">
      <c r="A34" s="408"/>
      <c r="B34" s="1478" t="s">
        <v>105</v>
      </c>
      <c r="C34" s="1478"/>
      <c r="D34" s="1478"/>
      <c r="E34" s="413"/>
    </row>
    <row r="35" spans="1:5" ht="14" thickBot="1">
      <c r="A35" s="408"/>
      <c r="B35" s="408"/>
      <c r="C35" s="408"/>
      <c r="D35" s="408"/>
      <c r="E35" s="408"/>
    </row>
    <row r="36" spans="1:5" ht="15" thickTop="1" thickBot="1">
      <c r="A36" s="408"/>
      <c r="B36" s="405" t="s">
        <v>733</v>
      </c>
      <c r="C36" s="406"/>
      <c r="D36" s="406"/>
      <c r="E36" s="407"/>
    </row>
    <row r="37" spans="1:5" ht="14" thickTop="1">
      <c r="A37" s="408"/>
      <c r="B37" s="1477" t="s">
        <v>1387</v>
      </c>
      <c r="C37" s="1477"/>
      <c r="D37" s="1477"/>
      <c r="E37" s="409" t="s">
        <v>2044</v>
      </c>
    </row>
    <row r="38" spans="1:5">
      <c r="A38" s="408"/>
      <c r="B38" s="1478" t="s">
        <v>1388</v>
      </c>
      <c r="C38" s="1478"/>
      <c r="D38" s="1478"/>
      <c r="E38" s="330">
        <f>MAX('Primary Input'!E21,'Primary Input'!E23)</f>
        <v>0</v>
      </c>
    </row>
    <row r="39" spans="1:5">
      <c r="A39" s="419"/>
      <c r="B39" s="1478" t="s">
        <v>832</v>
      </c>
      <c r="C39" s="1478"/>
      <c r="D39" s="1478"/>
      <c r="E39" s="414">
        <v>0</v>
      </c>
    </row>
    <row r="40" spans="1:5">
      <c r="A40" s="419"/>
      <c r="B40" s="1478" t="s">
        <v>108</v>
      </c>
      <c r="C40" s="1478"/>
      <c r="D40" s="1478"/>
      <c r="E40" s="410">
        <f>+Amortization!P5</f>
        <v>0</v>
      </c>
    </row>
    <row r="41" spans="1:5">
      <c r="A41" s="419"/>
      <c r="B41" s="1479" t="s">
        <v>864</v>
      </c>
      <c r="C41" s="1480"/>
      <c r="D41" s="1481"/>
      <c r="E41" s="330">
        <f>+E38-E40</f>
        <v>0</v>
      </c>
    </row>
    <row r="42" spans="1:5" ht="14" thickBot="1">
      <c r="A42" s="419"/>
      <c r="B42" s="419"/>
      <c r="C42" s="419"/>
      <c r="D42" s="419"/>
      <c r="E42" s="419"/>
    </row>
    <row r="43" spans="1:5" ht="15" thickTop="1" thickBot="1">
      <c r="A43" s="837">
        <v>0</v>
      </c>
      <c r="B43" s="405" t="s">
        <v>1535</v>
      </c>
      <c r="C43" s="406"/>
      <c r="D43" s="406"/>
      <c r="E43" s="407"/>
    </row>
    <row r="44" spans="1:5" ht="14" thickTop="1">
      <c r="A44" s="837">
        <v>0.01</v>
      </c>
      <c r="B44" s="1477" t="s">
        <v>1387</v>
      </c>
      <c r="C44" s="1477"/>
      <c r="D44" s="1477"/>
      <c r="E44" s="409" t="s">
        <v>621</v>
      </c>
    </row>
    <row r="45" spans="1:5">
      <c r="A45" s="837">
        <v>0.04</v>
      </c>
      <c r="B45" s="1478" t="s">
        <v>1388</v>
      </c>
      <c r="C45" s="1478"/>
      <c r="D45" s="1478"/>
      <c r="E45" s="1128">
        <f>+'Primary Input'!E22</f>
        <v>0</v>
      </c>
    </row>
    <row r="46" spans="1:5">
      <c r="A46" s="837" t="s">
        <v>1542</v>
      </c>
      <c r="B46" s="1478" t="s">
        <v>832</v>
      </c>
      <c r="C46" s="1478"/>
      <c r="D46" s="1478"/>
      <c r="E46" s="414">
        <v>0</v>
      </c>
    </row>
  </sheetData>
  <sheetProtection password="CCBC" sheet="1" objects="1" scenarios="1"/>
  <mergeCells count="38">
    <mergeCell ref="B44:D44"/>
    <mergeCell ref="B45:D45"/>
    <mergeCell ref="B46:D46"/>
    <mergeCell ref="B39:D39"/>
    <mergeCell ref="B40:D40"/>
    <mergeCell ref="B41:D41"/>
    <mergeCell ref="B33:D33"/>
    <mergeCell ref="B34:D34"/>
    <mergeCell ref="B37:D37"/>
    <mergeCell ref="B38:D38"/>
    <mergeCell ref="B29:D29"/>
    <mergeCell ref="B30:D30"/>
    <mergeCell ref="B31:D31"/>
    <mergeCell ref="B32:D32"/>
    <mergeCell ref="B25:D25"/>
    <mergeCell ref="B26:D26"/>
    <mergeCell ref="B27:D27"/>
    <mergeCell ref="B28:D28"/>
    <mergeCell ref="B21:D21"/>
    <mergeCell ref="B22:D22"/>
    <mergeCell ref="B23:D23"/>
    <mergeCell ref="B24:D24"/>
    <mergeCell ref="B16:D16"/>
    <mergeCell ref="B17:D17"/>
    <mergeCell ref="B20:D20"/>
    <mergeCell ref="B12:D12"/>
    <mergeCell ref="B13:D13"/>
    <mergeCell ref="B14:D14"/>
    <mergeCell ref="B15:D15"/>
    <mergeCell ref="B3:D3"/>
    <mergeCell ref="B4:D4"/>
    <mergeCell ref="B5:D5"/>
    <mergeCell ref="B6:D6"/>
    <mergeCell ref="B11:D11"/>
    <mergeCell ref="B7:D7"/>
    <mergeCell ref="B8:D8"/>
    <mergeCell ref="B9:D9"/>
    <mergeCell ref="B10:D10"/>
  </mergeCells>
  <phoneticPr fontId="0" type="noConversion"/>
  <dataValidations count="2">
    <dataValidation allowBlank="1" showInputMessage="1" showErrorMessage="1" promptTitle="Loan Type" prompt="If selection is &quot;Other&quot;, please explain in text box." sqref="E17 E34" xr:uid="{00000000-0002-0000-0900-000000000000}"/>
    <dataValidation type="list" allowBlank="1" showInputMessage="1" showErrorMessage="1" sqref="E46" xr:uid="{00000000-0002-0000-0900-000001000000}">
      <formula1>$A$43:$A$46</formula1>
    </dataValidation>
  </dataValidations>
  <printOptions horizontalCentered="1" verticalCentered="1"/>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pageSetUpPr fitToPage="1"/>
  </sheetPr>
  <dimension ref="A1:J93"/>
  <sheetViews>
    <sheetView zoomScaleNormal="100" workbookViewId="0">
      <selection activeCell="L5" sqref="L5"/>
    </sheetView>
  </sheetViews>
  <sheetFormatPr baseColWidth="10" defaultColWidth="9.1640625" defaultRowHeight="13"/>
  <cols>
    <col min="1" max="1" width="3.6640625" style="1" customWidth="1"/>
    <col min="2" max="3" width="12.6640625" style="1" customWidth="1"/>
    <col min="4" max="4" width="7.6640625" style="1" customWidth="1"/>
    <col min="5" max="5" width="3.6640625" style="1" customWidth="1"/>
    <col min="6" max="6" width="16.6640625" style="1" customWidth="1"/>
    <col min="7" max="7" width="3.6640625" style="1" customWidth="1"/>
    <col min="8" max="8" width="27.33203125" style="1" customWidth="1"/>
    <col min="9" max="9" width="16.6640625" style="1" customWidth="1"/>
    <col min="10" max="10" width="3.6640625" style="1" customWidth="1"/>
    <col min="11" max="16384" width="9.1640625" style="1"/>
  </cols>
  <sheetData>
    <row r="1" spans="1:10">
      <c r="A1" s="435" t="s">
        <v>1594</v>
      </c>
      <c r="H1" s="879">
        <f>+Name</f>
        <v>0</v>
      </c>
      <c r="I1" s="374" t="e">
        <f>Cover!$H$6</f>
        <v>#N/A</v>
      </c>
    </row>
    <row r="2" spans="1:10" ht="16">
      <c r="A2" s="20"/>
      <c r="B2" s="165" t="s">
        <v>251</v>
      </c>
      <c r="C2" s="20"/>
      <c r="D2" s="20"/>
      <c r="E2" s="20"/>
      <c r="F2" s="20"/>
      <c r="G2" s="20"/>
      <c r="H2" s="20"/>
      <c r="I2" s="20"/>
      <c r="J2" s="20"/>
    </row>
    <row r="3" spans="1:10">
      <c r="A3" s="20"/>
      <c r="B3" s="20"/>
      <c r="C3" s="20"/>
      <c r="D3" s="20"/>
      <c r="E3" s="166"/>
      <c r="F3" s="176" t="s">
        <v>1233</v>
      </c>
    </row>
    <row r="4" spans="1:10">
      <c r="A4" s="20"/>
      <c r="B4" s="167" t="s">
        <v>654</v>
      </c>
      <c r="C4" s="177"/>
      <c r="D4" s="177"/>
      <c r="E4" s="177"/>
      <c r="F4" s="168">
        <f>+'Loan Information'!E4</f>
        <v>0</v>
      </c>
    </row>
    <row r="5" spans="1:10">
      <c r="A5" s="20"/>
      <c r="B5" s="167" t="s">
        <v>655</v>
      </c>
      <c r="C5" s="177"/>
      <c r="D5" s="177"/>
      <c r="E5" s="177"/>
      <c r="F5" s="168">
        <f>+'Loan Information'!E21</f>
        <v>0</v>
      </c>
    </row>
    <row r="6" spans="1:10">
      <c r="A6" s="20"/>
      <c r="B6" s="167" t="s">
        <v>2043</v>
      </c>
      <c r="C6" s="177"/>
      <c r="D6" s="177"/>
      <c r="E6" s="177"/>
      <c r="F6" s="168">
        <f>+'Primary Input'!E21</f>
        <v>0</v>
      </c>
    </row>
    <row r="7" spans="1:10">
      <c r="A7" s="20"/>
      <c r="B7" s="167" t="s">
        <v>725</v>
      </c>
      <c r="C7" s="177"/>
      <c r="D7" s="177"/>
      <c r="E7" s="177"/>
      <c r="F7" s="168">
        <f>+syn_If</f>
        <v>0</v>
      </c>
    </row>
    <row r="8" spans="1:10">
      <c r="A8" s="20"/>
      <c r="B8" s="167" t="s">
        <v>2028</v>
      </c>
      <c r="C8" s="177"/>
      <c r="D8" s="177"/>
      <c r="E8" s="177"/>
      <c r="F8" s="1143">
        <f>+'Loan Information'!E45</f>
        <v>0</v>
      </c>
    </row>
    <row r="9" spans="1:10">
      <c r="A9" s="20"/>
      <c r="B9" s="339" t="s">
        <v>2027</v>
      </c>
      <c r="C9" s="179"/>
      <c r="D9" s="179"/>
      <c r="E9" s="180"/>
      <c r="F9" s="187">
        <v>0</v>
      </c>
    </row>
    <row r="10" spans="1:10">
      <c r="A10" s="20"/>
      <c r="B10" s="339" t="s">
        <v>2029</v>
      </c>
      <c r="C10" s="179"/>
      <c r="D10" s="179"/>
      <c r="E10" s="180"/>
      <c r="F10" s="187">
        <v>0</v>
      </c>
    </row>
    <row r="11" spans="1:10">
      <c r="A11" s="20"/>
      <c r="B11" s="884" t="s">
        <v>949</v>
      </c>
      <c r="C11" s="177"/>
      <c r="D11" s="177"/>
      <c r="E11" s="178"/>
      <c r="F11" s="187">
        <v>0</v>
      </c>
    </row>
    <row r="12" spans="1:10" hidden="1">
      <c r="A12" s="20"/>
      <c r="B12" s="167" t="s">
        <v>1301</v>
      </c>
      <c r="C12" s="177"/>
      <c r="D12" s="177"/>
      <c r="E12" s="177"/>
      <c r="F12" s="169"/>
      <c r="H12" s="64"/>
    </row>
    <row r="13" spans="1:10">
      <c r="A13" s="20"/>
      <c r="B13" s="167" t="s">
        <v>60</v>
      </c>
      <c r="C13" s="177"/>
      <c r="D13" s="177"/>
      <c r="E13" s="177"/>
      <c r="F13" s="187">
        <v>0</v>
      </c>
      <c r="H13" s="64"/>
    </row>
    <row r="14" spans="1:10" ht="16">
      <c r="A14" s="20"/>
      <c r="B14" s="167" t="s">
        <v>950</v>
      </c>
      <c r="C14" s="177"/>
      <c r="D14" s="177"/>
      <c r="E14" s="177"/>
      <c r="F14" s="187">
        <v>0</v>
      </c>
      <c r="H14" s="165" t="s">
        <v>653</v>
      </c>
    </row>
    <row r="15" spans="1:10">
      <c r="A15" s="20"/>
      <c r="B15" s="167" t="s">
        <v>951</v>
      </c>
      <c r="C15" s="177"/>
      <c r="D15" s="177"/>
      <c r="E15" s="177"/>
      <c r="F15" s="187">
        <v>0</v>
      </c>
      <c r="H15" s="171"/>
      <c r="I15" s="176" t="s">
        <v>1233</v>
      </c>
      <c r="J15" s="172"/>
    </row>
    <row r="16" spans="1:10">
      <c r="A16" s="20"/>
      <c r="B16" s="167" t="s">
        <v>658</v>
      </c>
      <c r="C16" s="177"/>
      <c r="D16" s="177"/>
      <c r="E16" s="177"/>
      <c r="F16" s="187">
        <v>0</v>
      </c>
      <c r="H16" s="185" t="s">
        <v>728</v>
      </c>
      <c r="I16" s="189">
        <v>0</v>
      </c>
    </row>
    <row r="17" spans="1:10">
      <c r="A17" s="20"/>
      <c r="B17" s="339" t="s">
        <v>1271</v>
      </c>
      <c r="C17" s="179"/>
      <c r="D17" s="179"/>
      <c r="E17" s="180"/>
      <c r="F17" s="187">
        <v>0</v>
      </c>
      <c r="H17" s="185" t="s">
        <v>729</v>
      </c>
      <c r="I17" s="189">
        <v>0</v>
      </c>
    </row>
    <row r="18" spans="1:10">
      <c r="A18" s="20"/>
      <c r="B18" s="339" t="s">
        <v>1271</v>
      </c>
      <c r="C18" s="179"/>
      <c r="D18" s="179"/>
      <c r="E18" s="180"/>
      <c r="F18" s="187">
        <v>0</v>
      </c>
      <c r="H18" s="185" t="s">
        <v>730</v>
      </c>
      <c r="I18" s="189">
        <v>0</v>
      </c>
    </row>
    <row r="19" spans="1:10">
      <c r="A19" s="20"/>
      <c r="B19" s="339" t="s">
        <v>1271</v>
      </c>
      <c r="C19" s="179"/>
      <c r="D19" s="179"/>
      <c r="E19" s="180"/>
      <c r="F19" s="187">
        <v>0</v>
      </c>
      <c r="H19" s="185" t="s">
        <v>940</v>
      </c>
      <c r="I19" s="189">
        <v>0</v>
      </c>
    </row>
    <row r="20" spans="1:10">
      <c r="A20" s="20"/>
      <c r="B20" s="339" t="s">
        <v>1271</v>
      </c>
      <c r="C20" s="179"/>
      <c r="D20" s="179"/>
      <c r="E20" s="180"/>
      <c r="F20" s="187">
        <v>0</v>
      </c>
      <c r="H20" s="185" t="s">
        <v>941</v>
      </c>
      <c r="I20" s="189">
        <v>0</v>
      </c>
    </row>
    <row r="21" spans="1:10">
      <c r="A21" s="20"/>
      <c r="B21" s="339" t="s">
        <v>1271</v>
      </c>
      <c r="C21" s="179"/>
      <c r="D21" s="179"/>
      <c r="E21" s="180"/>
      <c r="F21" s="187">
        <v>0</v>
      </c>
      <c r="H21" s="185" t="s">
        <v>942</v>
      </c>
      <c r="I21" s="189">
        <v>0</v>
      </c>
      <c r="J21" s="63"/>
    </row>
    <row r="22" spans="1:10">
      <c r="A22" s="20"/>
      <c r="B22" s="167" t="s">
        <v>1234</v>
      </c>
      <c r="C22" s="177"/>
      <c r="D22" s="177"/>
      <c r="E22" s="178"/>
      <c r="F22" s="170">
        <f>ROUND(+F23-SUM(F4:F21),0)</f>
        <v>0</v>
      </c>
      <c r="H22" s="185" t="s">
        <v>943</v>
      </c>
      <c r="I22" s="189">
        <v>0</v>
      </c>
    </row>
    <row r="23" spans="1:10">
      <c r="A23" s="20"/>
      <c r="B23" s="173" t="s">
        <v>1235</v>
      </c>
      <c r="C23" s="20"/>
      <c r="D23" s="20"/>
      <c r="E23" s="20"/>
      <c r="F23" s="188">
        <f>+F50</f>
        <v>0</v>
      </c>
      <c r="H23" s="185" t="s">
        <v>944</v>
      </c>
      <c r="I23" s="189">
        <v>0</v>
      </c>
    </row>
    <row r="24" spans="1:10">
      <c r="A24" s="20"/>
      <c r="B24" s="63"/>
      <c r="C24" s="63"/>
      <c r="D24" s="63"/>
      <c r="E24" s="63"/>
      <c r="F24" s="63"/>
      <c r="H24" s="185" t="s">
        <v>53</v>
      </c>
      <c r="I24" s="189">
        <v>0</v>
      </c>
    </row>
    <row r="25" spans="1:10">
      <c r="A25" s="164"/>
      <c r="B25" s="63"/>
      <c r="C25" s="20"/>
      <c r="D25" s="20"/>
      <c r="E25" s="20"/>
      <c r="H25" s="185" t="s">
        <v>945</v>
      </c>
      <c r="I25" s="189">
        <v>0</v>
      </c>
    </row>
    <row r="26" spans="1:10">
      <c r="A26" s="164"/>
      <c r="B26" s="63"/>
      <c r="C26" s="63"/>
      <c r="D26" s="20"/>
      <c r="E26" s="20"/>
      <c r="H26" s="185" t="s">
        <v>1239</v>
      </c>
      <c r="I26" s="189">
        <v>0</v>
      </c>
    </row>
    <row r="27" spans="1:10">
      <c r="A27" s="20"/>
      <c r="B27" s="164"/>
      <c r="C27" s="20"/>
      <c r="D27" s="20"/>
      <c r="E27" s="20"/>
      <c r="H27" s="185" t="s">
        <v>946</v>
      </c>
      <c r="I27" s="189">
        <v>0</v>
      </c>
    </row>
    <row r="28" spans="1:10">
      <c r="A28" s="20"/>
      <c r="B28" s="164"/>
      <c r="C28" s="20"/>
      <c r="D28" s="20"/>
      <c r="E28" s="20"/>
      <c r="F28" s="20"/>
      <c r="H28" s="185" t="s">
        <v>947</v>
      </c>
      <c r="I28" s="189">
        <v>0</v>
      </c>
    </row>
    <row r="29" spans="1:10" ht="16">
      <c r="A29" s="20"/>
      <c r="B29" s="165" t="s">
        <v>1236</v>
      </c>
      <c r="C29" s="20"/>
      <c r="D29" s="20"/>
      <c r="E29" s="20"/>
      <c r="F29" s="20"/>
      <c r="H29" s="185" t="s">
        <v>948</v>
      </c>
      <c r="I29" s="189">
        <v>0</v>
      </c>
    </row>
    <row r="30" spans="1:10">
      <c r="A30" s="20"/>
      <c r="B30" s="20"/>
      <c r="C30" s="20"/>
      <c r="D30" s="20"/>
      <c r="E30" s="181"/>
      <c r="F30" s="176" t="s">
        <v>1233</v>
      </c>
      <c r="H30" s="185" t="s">
        <v>54</v>
      </c>
      <c r="I30" s="189">
        <v>0</v>
      </c>
    </row>
    <row r="31" spans="1:10">
      <c r="A31" s="20"/>
      <c r="B31" s="174" t="s">
        <v>55</v>
      </c>
      <c r="C31" s="175"/>
      <c r="D31" s="177"/>
      <c r="E31" s="182"/>
      <c r="F31" s="168">
        <f>+'Rehab Construction'!F108</f>
        <v>0</v>
      </c>
      <c r="H31" s="185"/>
      <c r="I31" s="186"/>
    </row>
    <row r="32" spans="1:10">
      <c r="A32" s="20"/>
      <c r="B32" s="174" t="s">
        <v>56</v>
      </c>
      <c r="C32" s="177"/>
      <c r="D32" s="177"/>
      <c r="E32" s="182"/>
      <c r="F32" s="168">
        <f>+'Rehab Construction'!F181</f>
        <v>0</v>
      </c>
      <c r="H32" s="186" t="s">
        <v>1240</v>
      </c>
      <c r="I32" s="757">
        <f>'Rehab Construction'!F192</f>
        <v>0</v>
      </c>
    </row>
    <row r="33" spans="1:9">
      <c r="A33" s="20"/>
      <c r="B33" s="174" t="s">
        <v>1241</v>
      </c>
      <c r="C33" s="177"/>
      <c r="D33" s="177"/>
      <c r="E33" s="182"/>
      <c r="F33" s="168">
        <f>+I50</f>
        <v>0</v>
      </c>
      <c r="H33" s="186"/>
      <c r="I33" s="186"/>
    </row>
    <row r="34" spans="1:9">
      <c r="A34" s="20"/>
      <c r="B34" s="174" t="s">
        <v>57</v>
      </c>
      <c r="C34" s="177"/>
      <c r="D34" s="177"/>
      <c r="E34" s="183"/>
      <c r="F34" s="184"/>
      <c r="H34" s="185" t="s">
        <v>2041</v>
      </c>
      <c r="I34" s="189">
        <f>IF('Primary Input'!E20&lt;1,0,10000)</f>
        <v>0</v>
      </c>
    </row>
    <row r="35" spans="1:9">
      <c r="A35" s="20"/>
      <c r="B35" s="174" t="s">
        <v>952</v>
      </c>
      <c r="C35" s="177"/>
      <c r="D35" s="177"/>
      <c r="E35" s="182"/>
      <c r="F35" s="187">
        <v>0</v>
      </c>
      <c r="H35" s="185" t="s">
        <v>2042</v>
      </c>
      <c r="I35" s="189">
        <f>IF('Primary Input'!E21&lt;1,0,10000)</f>
        <v>0</v>
      </c>
    </row>
    <row r="36" spans="1:9">
      <c r="A36" s="20"/>
      <c r="B36" s="174" t="s">
        <v>953</v>
      </c>
      <c r="C36" s="177"/>
      <c r="D36" s="177"/>
      <c r="E36" s="182"/>
      <c r="F36" s="187">
        <v>0</v>
      </c>
      <c r="H36" s="185" t="s">
        <v>228</v>
      </c>
      <c r="I36" s="189">
        <v>0</v>
      </c>
    </row>
    <row r="37" spans="1:9">
      <c r="A37" s="20"/>
      <c r="B37" s="339" t="s">
        <v>1271</v>
      </c>
      <c r="C37" s="179"/>
      <c r="D37" s="179"/>
      <c r="E37" s="180"/>
      <c r="F37" s="187">
        <v>0</v>
      </c>
      <c r="H37" s="339" t="s">
        <v>1197</v>
      </c>
      <c r="I37" s="189">
        <v>0</v>
      </c>
    </row>
    <row r="38" spans="1:9">
      <c r="A38" s="20"/>
      <c r="B38" s="174" t="s">
        <v>1555</v>
      </c>
      <c r="C38" s="177"/>
      <c r="D38" s="177"/>
      <c r="E38" s="183"/>
      <c r="F38" s="183"/>
      <c r="H38" s="339" t="s">
        <v>1271</v>
      </c>
      <c r="I38" s="189">
        <v>0</v>
      </c>
    </row>
    <row r="39" spans="1:9">
      <c r="A39" s="20"/>
      <c r="B39" s="174" t="s">
        <v>954</v>
      </c>
      <c r="C39" s="177"/>
      <c r="D39" s="177"/>
      <c r="E39" s="182"/>
      <c r="F39" s="187">
        <v>0</v>
      </c>
      <c r="H39" s="339" t="s">
        <v>1271</v>
      </c>
      <c r="I39" s="189">
        <v>0</v>
      </c>
    </row>
    <row r="40" spans="1:9">
      <c r="A40" s="20"/>
      <c r="B40" s="339" t="s">
        <v>1271</v>
      </c>
      <c r="C40" s="179"/>
      <c r="D40" s="179"/>
      <c r="E40" s="180"/>
      <c r="F40" s="187">
        <v>0</v>
      </c>
      <c r="H40" s="339" t="s">
        <v>1271</v>
      </c>
      <c r="I40" s="189">
        <v>0</v>
      </c>
    </row>
    <row r="41" spans="1:9">
      <c r="A41" s="20"/>
      <c r="B41" s="832" t="s">
        <v>204</v>
      </c>
      <c r="C41" s="177"/>
      <c r="D41" s="177"/>
      <c r="E41" s="183"/>
      <c r="F41" s="188">
        <f>SUM(F31:F40)</f>
        <v>0</v>
      </c>
      <c r="H41" s="339" t="s">
        <v>1271</v>
      </c>
      <c r="I41" s="189">
        <v>0</v>
      </c>
    </row>
    <row r="42" spans="1:9">
      <c r="A42" s="20"/>
      <c r="B42" s="167" t="s">
        <v>955</v>
      </c>
      <c r="C42" s="177"/>
      <c r="D42" s="177"/>
      <c r="E42" s="182"/>
      <c r="F42" s="168">
        <f>+F16</f>
        <v>0</v>
      </c>
      <c r="H42" s="339" t="s">
        <v>1271</v>
      </c>
      <c r="I42" s="189">
        <v>0</v>
      </c>
    </row>
    <row r="43" spans="1:9">
      <c r="A43" s="20"/>
      <c r="B43" s="174" t="s">
        <v>42</v>
      </c>
      <c r="C43" s="177"/>
      <c r="D43" s="177"/>
      <c r="E43" s="183"/>
      <c r="F43" s="187">
        <v>0</v>
      </c>
      <c r="H43" s="339" t="s">
        <v>1271</v>
      </c>
      <c r="I43" s="189">
        <v>0</v>
      </c>
    </row>
    <row r="44" spans="1:9">
      <c r="A44" s="20"/>
      <c r="B44" s="174" t="s">
        <v>1242</v>
      </c>
      <c r="C44" s="177"/>
      <c r="D44" s="177"/>
      <c r="E44" s="183"/>
      <c r="F44" s="168">
        <f>+'Reserve 20 Yr Schedule'!E4</f>
        <v>0</v>
      </c>
      <c r="H44" s="339" t="s">
        <v>1271</v>
      </c>
      <c r="I44" s="189">
        <v>0</v>
      </c>
    </row>
    <row r="45" spans="1:9">
      <c r="A45" s="20"/>
      <c r="B45" s="339" t="s">
        <v>1271</v>
      </c>
      <c r="C45" s="179"/>
      <c r="D45" s="179"/>
      <c r="E45" s="180"/>
      <c r="F45" s="187">
        <v>0</v>
      </c>
      <c r="H45" s="1144"/>
      <c r="I45" s="1145"/>
    </row>
    <row r="46" spans="1:9">
      <c r="A46" s="20"/>
      <c r="B46" s="339" t="s">
        <v>1271</v>
      </c>
      <c r="C46" s="179"/>
      <c r="D46" s="179"/>
      <c r="E46" s="180"/>
      <c r="F46" s="187">
        <v>0</v>
      </c>
      <c r="H46" s="1144"/>
      <c r="I46" s="1145"/>
    </row>
    <row r="47" spans="1:9">
      <c r="A47" s="20"/>
      <c r="B47" s="339" t="s">
        <v>1271</v>
      </c>
      <c r="C47" s="179"/>
      <c r="D47" s="179"/>
      <c r="E47" s="180"/>
      <c r="F47" s="187">
        <v>0</v>
      </c>
      <c r="H47" s="1144"/>
      <c r="I47" s="1145"/>
    </row>
    <row r="48" spans="1:9">
      <c r="A48" s="20"/>
      <c r="B48" s="339" t="s">
        <v>1271</v>
      </c>
      <c r="C48" s="179"/>
      <c r="D48" s="179"/>
      <c r="E48" s="180"/>
      <c r="F48" s="187">
        <v>0</v>
      </c>
      <c r="H48" s="1144"/>
      <c r="I48" s="1145"/>
    </row>
    <row r="49" spans="1:9">
      <c r="A49" s="20"/>
      <c r="B49" s="339" t="s">
        <v>1271</v>
      </c>
      <c r="C49" s="179"/>
      <c r="D49" s="179"/>
      <c r="E49" s="180"/>
      <c r="F49" s="187">
        <v>0</v>
      </c>
      <c r="H49" s="1144"/>
      <c r="I49" s="1145"/>
    </row>
    <row r="50" spans="1:9">
      <c r="A50" s="20"/>
      <c r="B50" s="173" t="s">
        <v>1238</v>
      </c>
      <c r="C50" s="20"/>
      <c r="D50" s="20"/>
      <c r="E50" s="20"/>
      <c r="F50" s="621">
        <f>SUM(F41:F49)</f>
        <v>0</v>
      </c>
      <c r="H50" s="754" t="s">
        <v>1556</v>
      </c>
      <c r="I50" s="757">
        <f>SUM(I16:I49)</f>
        <v>0</v>
      </c>
    </row>
    <row r="51" spans="1:9">
      <c r="A51" s="20"/>
      <c r="H51" s="63"/>
    </row>
    <row r="52" spans="1:9">
      <c r="A52" s="20"/>
      <c r="H52" s="63"/>
    </row>
    <row r="53" spans="1:9">
      <c r="A53" s="2"/>
    </row>
    <row r="54" spans="1:9" ht="16" hidden="1">
      <c r="A54" s="2"/>
      <c r="B54" s="165" t="s">
        <v>657</v>
      </c>
      <c r="C54" s="20"/>
      <c r="D54" s="20"/>
      <c r="E54" s="2"/>
      <c r="F54" s="756"/>
    </row>
    <row r="55" spans="1:9" hidden="1">
      <c r="A55" s="2"/>
    </row>
    <row r="56" spans="1:9" hidden="1">
      <c r="A56" s="2"/>
      <c r="B56" s="339" t="s">
        <v>1845</v>
      </c>
      <c r="C56" s="179"/>
      <c r="D56" s="179"/>
      <c r="E56" s="180"/>
      <c r="F56" s="187">
        <v>0</v>
      </c>
      <c r="H56" s="338" t="s">
        <v>1551</v>
      </c>
      <c r="I56" s="189">
        <v>0</v>
      </c>
    </row>
    <row r="57" spans="1:9" hidden="1">
      <c r="A57" s="2"/>
      <c r="B57" s="339" t="s">
        <v>656</v>
      </c>
      <c r="C57" s="179"/>
      <c r="D57" s="179"/>
      <c r="E57" s="180"/>
      <c r="F57" s="187">
        <v>0</v>
      </c>
      <c r="H57" s="338" t="s">
        <v>1552</v>
      </c>
      <c r="I57" s="189">
        <v>0</v>
      </c>
    </row>
    <row r="58" spans="1:9" hidden="1">
      <c r="A58" s="2"/>
      <c r="B58" s="339" t="s">
        <v>726</v>
      </c>
      <c r="C58" s="179"/>
      <c r="D58" s="179"/>
      <c r="E58" s="180"/>
      <c r="F58" s="187">
        <v>0</v>
      </c>
      <c r="H58" s="338" t="s">
        <v>1553</v>
      </c>
      <c r="I58" s="189">
        <v>0</v>
      </c>
    </row>
    <row r="59" spans="1:9" hidden="1">
      <c r="A59" s="2"/>
      <c r="B59" s="339" t="s">
        <v>727</v>
      </c>
      <c r="C59" s="179"/>
      <c r="D59" s="179"/>
      <c r="E59" s="180"/>
      <c r="F59" s="187">
        <v>0</v>
      </c>
      <c r="H59" s="338" t="s">
        <v>1554</v>
      </c>
      <c r="I59" s="189">
        <v>0</v>
      </c>
    </row>
    <row r="60" spans="1:9" hidden="1">
      <c r="A60" s="2"/>
      <c r="H60" s="754" t="s">
        <v>1237</v>
      </c>
      <c r="I60" s="755">
        <f>SUM(I56:I59)+SUM(F56:F59)</f>
        <v>0</v>
      </c>
    </row>
    <row r="61" spans="1:9">
      <c r="A61" s="2"/>
    </row>
    <row r="62" spans="1:9">
      <c r="A62" s="2"/>
    </row>
    <row r="63" spans="1:9">
      <c r="A63" s="2"/>
    </row>
    <row r="64" spans="1:9">
      <c r="A64" s="2"/>
    </row>
    <row r="65" spans="1:1">
      <c r="A65" s="2"/>
    </row>
    <row r="66" spans="1:1">
      <c r="A66" s="2"/>
    </row>
    <row r="67" spans="1:1">
      <c r="A67" s="2"/>
    </row>
    <row r="68" spans="1:1">
      <c r="A68" s="2"/>
    </row>
    <row r="69" spans="1:1">
      <c r="A69" s="2"/>
    </row>
    <row r="70" spans="1:1">
      <c r="A70" s="2"/>
    </row>
    <row r="71" spans="1:1">
      <c r="A71" s="2"/>
    </row>
    <row r="72" spans="1:1">
      <c r="A72" s="2"/>
    </row>
    <row r="73" spans="1:1">
      <c r="A73" s="2"/>
    </row>
    <row r="74" spans="1:1">
      <c r="A74" s="2"/>
    </row>
    <row r="75" spans="1:1">
      <c r="A75" s="2"/>
    </row>
    <row r="76" spans="1:1">
      <c r="A76" s="2"/>
    </row>
    <row r="77" spans="1:1">
      <c r="A77" s="2"/>
    </row>
    <row r="78" spans="1:1">
      <c r="A78" s="2"/>
    </row>
    <row r="79" spans="1:1">
      <c r="A79" s="2"/>
    </row>
    <row r="80" spans="1:1">
      <c r="A80" s="2"/>
    </row>
    <row r="81" spans="1:1">
      <c r="A81" s="2"/>
    </row>
    <row r="82" spans="1:1">
      <c r="A82" s="2"/>
    </row>
    <row r="83" spans="1:1">
      <c r="A83" s="2"/>
    </row>
    <row r="84" spans="1:1">
      <c r="A84" s="2"/>
    </row>
    <row r="85" spans="1:1">
      <c r="A85" s="2"/>
    </row>
    <row r="86" spans="1:1">
      <c r="A86" s="2"/>
    </row>
    <row r="87" spans="1:1">
      <c r="A87" s="2"/>
    </row>
    <row r="88" spans="1:1">
      <c r="A88" s="2"/>
    </row>
    <row r="89" spans="1:1">
      <c r="A89" s="2"/>
    </row>
    <row r="90" spans="1:1">
      <c r="A90" s="2"/>
    </row>
    <row r="91" spans="1:1">
      <c r="A91" s="2"/>
    </row>
    <row r="92" spans="1:1">
      <c r="A92" s="2"/>
    </row>
    <row r="93" spans="1:1">
      <c r="A93" s="2"/>
    </row>
  </sheetData>
  <sheetProtection password="CCBC" sheet="1" objects="1" scenarios="1"/>
  <phoneticPr fontId="0" type="noConversion"/>
  <printOptions horizontalCentered="1" verticalCentered="1"/>
  <pageMargins left="0.35" right="0.28000000000000003" top="1" bottom="1" header="0.5" footer="0.5"/>
  <pageSetup scale="94" orientation="portrait" horizontalDpi="360" verticalDpi="36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dimension ref="A1:M189"/>
  <sheetViews>
    <sheetView zoomScaleNormal="100" workbookViewId="0">
      <selection activeCell="L5" sqref="L5"/>
    </sheetView>
  </sheetViews>
  <sheetFormatPr baseColWidth="10" defaultColWidth="9.1640625" defaultRowHeight="13"/>
  <cols>
    <col min="1" max="1" width="3.6640625" style="190" customWidth="1"/>
    <col min="2" max="3" width="9.1640625" style="190"/>
    <col min="4" max="4" width="13.5" style="190" customWidth="1"/>
    <col min="5" max="5" width="13.6640625" style="190" customWidth="1"/>
    <col min="6" max="6" width="2.6640625" style="190" customWidth="1"/>
    <col min="7" max="7" width="10.6640625" style="190" customWidth="1"/>
    <col min="8" max="8" width="2.6640625" style="190" customWidth="1"/>
    <col min="9" max="9" width="13.6640625" style="190" customWidth="1"/>
    <col min="10" max="10" width="2.6640625" style="190" customWidth="1"/>
    <col min="11" max="11" width="10.6640625" style="190" customWidth="1"/>
    <col min="12" max="13" width="3.6640625" style="190" customWidth="1"/>
    <col min="14" max="16384" width="9.1640625" style="190"/>
  </cols>
  <sheetData>
    <row r="1" spans="1:13" ht="14" thickBot="1">
      <c r="A1" s="381" t="s">
        <v>213</v>
      </c>
      <c r="B1" s="566"/>
      <c r="C1" s="566"/>
      <c r="D1" s="566"/>
      <c r="E1" s="566"/>
      <c r="F1" s="566"/>
      <c r="G1" s="566"/>
      <c r="H1" s="566"/>
      <c r="I1" s="879">
        <f>+Name</f>
        <v>0</v>
      </c>
      <c r="J1" s="566"/>
      <c r="K1" s="374" t="e">
        <f>Cover!$H$6</f>
        <v>#N/A</v>
      </c>
      <c r="L1" s="566"/>
    </row>
    <row r="2" spans="1:13" ht="20" thickTop="1" thickBot="1">
      <c r="B2" s="1487" t="s">
        <v>213</v>
      </c>
      <c r="C2" s="1488"/>
      <c r="D2" s="1488"/>
      <c r="E2" s="1488"/>
      <c r="F2" s="1488"/>
      <c r="G2" s="1488"/>
      <c r="H2" s="1488"/>
      <c r="I2" s="1488"/>
      <c r="J2" s="1488"/>
      <c r="K2" s="1488"/>
      <c r="L2" s="1489"/>
    </row>
    <row r="3" spans="1:13" ht="19" thickTop="1">
      <c r="B3" s="1483" t="s">
        <v>214</v>
      </c>
      <c r="C3" s="1483"/>
      <c r="D3" s="1483"/>
      <c r="E3" s="1483"/>
      <c r="F3" s="1483"/>
      <c r="G3" s="1483"/>
      <c r="H3" s="1483"/>
      <c r="I3" s="1483"/>
      <c r="J3" s="1483"/>
      <c r="K3" s="1483"/>
      <c r="L3" s="1483"/>
    </row>
    <row r="4" spans="1:13">
      <c r="B4" s="507"/>
      <c r="C4" s="507"/>
      <c r="D4" s="507"/>
      <c r="E4" s="507"/>
      <c r="F4" s="507"/>
      <c r="G4" s="507"/>
      <c r="H4" s="507"/>
      <c r="I4" s="507"/>
      <c r="J4" s="507"/>
      <c r="K4" s="507"/>
      <c r="L4" s="507"/>
    </row>
    <row r="5" spans="1:13">
      <c r="B5" s="507" t="s">
        <v>660</v>
      </c>
      <c r="C5" s="507"/>
      <c r="D5" s="507"/>
      <c r="E5" s="507"/>
      <c r="F5" s="507"/>
      <c r="G5" s="507"/>
      <c r="H5" s="507"/>
      <c r="I5" s="507"/>
      <c r="J5" s="507"/>
      <c r="K5" s="507"/>
      <c r="L5" s="507"/>
    </row>
    <row r="6" spans="1:13">
      <c r="B6" s="507" t="s">
        <v>659</v>
      </c>
      <c r="C6" s="507"/>
      <c r="D6" s="507"/>
      <c r="E6" s="507"/>
      <c r="F6" s="507"/>
      <c r="G6" s="507"/>
      <c r="H6" s="507"/>
      <c r="I6" s="507"/>
      <c r="J6" s="507"/>
      <c r="K6" s="507"/>
      <c r="L6" s="507"/>
    </row>
    <row r="7" spans="1:13" ht="52">
      <c r="B7" s="507"/>
      <c r="C7" s="567" t="s">
        <v>897</v>
      </c>
      <c r="D7" s="568"/>
      <c r="E7" s="567" t="s">
        <v>898</v>
      </c>
      <c r="F7" s="568"/>
      <c r="G7" s="567" t="s">
        <v>899</v>
      </c>
      <c r="H7" s="568"/>
      <c r="I7" s="567" t="s">
        <v>900</v>
      </c>
      <c r="J7" s="568"/>
      <c r="K7" s="567" t="s">
        <v>901</v>
      </c>
      <c r="L7" s="507"/>
    </row>
    <row r="8" spans="1:13">
      <c r="B8" s="507"/>
      <c r="C8" s="507"/>
      <c r="D8" s="507"/>
      <c r="E8" s="507"/>
      <c r="F8" s="507"/>
      <c r="G8" s="507"/>
      <c r="H8" s="507"/>
      <c r="I8" s="507"/>
      <c r="J8" s="507"/>
      <c r="K8" s="507"/>
      <c r="L8" s="507"/>
    </row>
    <row r="9" spans="1:13">
      <c r="B9" s="569" t="s">
        <v>902</v>
      </c>
      <c r="C9" s="1490">
        <f>+'Loan Information'!E3</f>
        <v>0</v>
      </c>
      <c r="D9" s="1491"/>
      <c r="E9" s="592">
        <f>+'Loan Information'!E4</f>
        <v>0</v>
      </c>
      <c r="F9" s="570"/>
      <c r="G9" s="592">
        <f>+'Loan Information'!E12</f>
        <v>0</v>
      </c>
      <c r="H9" s="507"/>
      <c r="I9" s="663">
        <f>+'Loan Information'!E8</f>
        <v>0</v>
      </c>
      <c r="J9" s="507"/>
      <c r="K9" s="664">
        <f>+'Loan Information'!E9</f>
        <v>0</v>
      </c>
      <c r="L9" s="507"/>
    </row>
    <row r="10" spans="1:13">
      <c r="B10" s="569" t="s">
        <v>903</v>
      </c>
      <c r="C10" s="1490">
        <f>+'Loan Information'!E20</f>
        <v>0</v>
      </c>
      <c r="D10" s="1491"/>
      <c r="E10" s="592">
        <f>+'Loan Information'!E21</f>
        <v>0</v>
      </c>
      <c r="F10" s="570"/>
      <c r="G10" s="592">
        <f>+'Loan Information'!E29</f>
        <v>0</v>
      </c>
      <c r="H10" s="507"/>
      <c r="I10" s="663">
        <f>+'Loan Information'!E25</f>
        <v>0</v>
      </c>
      <c r="J10" s="507"/>
      <c r="K10" s="664">
        <f>+'Loan Information'!E26</f>
        <v>0</v>
      </c>
      <c r="L10" s="507"/>
    </row>
    <row r="11" spans="1:13">
      <c r="B11" s="569" t="s">
        <v>904</v>
      </c>
      <c r="C11" s="1492" t="s">
        <v>80</v>
      </c>
      <c r="D11" s="1492"/>
      <c r="E11" s="582">
        <v>0</v>
      </c>
      <c r="F11" s="570"/>
      <c r="G11" s="582">
        <v>0</v>
      </c>
      <c r="H11" s="507"/>
      <c r="I11" s="583">
        <v>0</v>
      </c>
      <c r="J11" s="507"/>
      <c r="K11" s="338">
        <v>0</v>
      </c>
      <c r="L11" s="507"/>
    </row>
    <row r="12" spans="1:13">
      <c r="B12" s="569" t="s">
        <v>905</v>
      </c>
      <c r="C12" s="1492" t="s">
        <v>80</v>
      </c>
      <c r="D12" s="1492"/>
      <c r="E12" s="582">
        <v>0</v>
      </c>
      <c r="F12" s="570"/>
      <c r="G12" s="582">
        <v>0</v>
      </c>
      <c r="H12" s="507"/>
      <c r="I12" s="583">
        <v>0</v>
      </c>
      <c r="J12" s="507"/>
      <c r="K12" s="338">
        <v>0</v>
      </c>
      <c r="L12" s="507"/>
    </row>
    <row r="13" spans="1:13">
      <c r="B13" s="569"/>
      <c r="C13" s="572"/>
      <c r="D13" s="572"/>
      <c r="E13" s="572"/>
      <c r="F13" s="570"/>
      <c r="G13" s="570"/>
      <c r="H13" s="570"/>
      <c r="I13" s="570"/>
      <c r="J13" s="570"/>
      <c r="K13" s="572"/>
      <c r="L13" s="570"/>
      <c r="M13" s="570"/>
    </row>
    <row r="14" spans="1:13" ht="12.75" customHeight="1">
      <c r="B14" s="571" t="s">
        <v>906</v>
      </c>
      <c r="C14" s="1493" t="s">
        <v>1559</v>
      </c>
      <c r="D14" s="1493"/>
      <c r="E14" s="1493"/>
      <c r="F14" s="1493"/>
      <c r="G14" s="1493"/>
      <c r="H14" s="196"/>
      <c r="I14" s="592">
        <f>+syn_If</f>
        <v>0</v>
      </c>
      <c r="J14" s="196"/>
      <c r="K14" s="572"/>
      <c r="L14" s="507"/>
    </row>
    <row r="15" spans="1:13" ht="12.75" customHeight="1">
      <c r="B15" s="573" t="s">
        <v>1560</v>
      </c>
      <c r="C15" s="1493" t="s">
        <v>614</v>
      </c>
      <c r="D15" s="1493"/>
      <c r="E15" s="1493"/>
      <c r="F15" s="1493"/>
      <c r="G15" s="1493"/>
      <c r="H15" s="196"/>
      <c r="I15" s="338"/>
      <c r="J15" s="196"/>
      <c r="K15" s="196"/>
      <c r="L15" s="507"/>
    </row>
    <row r="16" spans="1:13">
      <c r="B16" s="507"/>
      <c r="C16" s="507"/>
      <c r="D16" s="507"/>
      <c r="E16" s="570"/>
      <c r="F16" s="570"/>
      <c r="G16" s="570"/>
      <c r="H16" s="507"/>
      <c r="I16" s="507"/>
      <c r="J16" s="507"/>
      <c r="K16" s="507"/>
      <c r="L16" s="507"/>
    </row>
    <row r="17" spans="2:12">
      <c r="B17" s="507" t="s">
        <v>615</v>
      </c>
      <c r="C17" s="507"/>
      <c r="D17" s="507"/>
      <c r="E17" s="570"/>
      <c r="F17" s="570"/>
      <c r="G17" s="570"/>
      <c r="H17" s="507"/>
      <c r="I17" s="592">
        <f>SUM(E9:E12)+I14+I15</f>
        <v>0</v>
      </c>
      <c r="J17" s="507"/>
      <c r="K17" s="507"/>
      <c r="L17" s="507"/>
    </row>
    <row r="18" spans="2:12">
      <c r="B18" s="507"/>
      <c r="C18" s="507"/>
      <c r="D18" s="507"/>
      <c r="E18" s="570"/>
      <c r="F18" s="570"/>
      <c r="G18" s="570"/>
      <c r="H18" s="507"/>
      <c r="I18" s="507"/>
      <c r="J18" s="507"/>
      <c r="K18" s="507"/>
      <c r="L18" s="507"/>
    </row>
    <row r="19" spans="2:12">
      <c r="B19" s="507" t="s">
        <v>616</v>
      </c>
      <c r="C19" s="507"/>
      <c r="D19" s="507"/>
      <c r="E19" s="570"/>
      <c r="F19" s="570"/>
      <c r="G19" s="570"/>
      <c r="H19" s="507"/>
      <c r="I19" s="592">
        <f>SUM(G9:G12)</f>
        <v>0</v>
      </c>
      <c r="J19" s="507"/>
      <c r="K19" s="507"/>
      <c r="L19" s="507"/>
    </row>
    <row r="20" spans="2:12">
      <c r="B20" s="507"/>
      <c r="C20" s="507"/>
      <c r="D20" s="507"/>
      <c r="E20" s="570"/>
      <c r="F20" s="507"/>
      <c r="G20" s="507"/>
      <c r="H20" s="507"/>
      <c r="I20" s="507"/>
      <c r="J20" s="507"/>
      <c r="K20" s="507"/>
      <c r="L20" s="507"/>
    </row>
    <row r="21" spans="2:12">
      <c r="B21" s="507" t="s">
        <v>617</v>
      </c>
      <c r="C21" s="507"/>
      <c r="D21" s="507"/>
      <c r="E21" s="570"/>
      <c r="F21" s="507"/>
      <c r="G21" s="507"/>
      <c r="H21" s="507"/>
      <c r="I21" s="593">
        <f>+Syndication!I171</f>
        <v>41820</v>
      </c>
      <c r="J21" s="507"/>
      <c r="K21" s="507"/>
      <c r="L21" s="507"/>
    </row>
    <row r="22" spans="2:12">
      <c r="B22" s="507"/>
      <c r="C22" s="507"/>
      <c r="D22" s="507"/>
      <c r="E22" s="507"/>
      <c r="F22" s="507"/>
      <c r="G22" s="507"/>
      <c r="H22" s="507"/>
      <c r="I22" s="507"/>
      <c r="J22" s="507"/>
      <c r="K22" s="507"/>
      <c r="L22" s="507"/>
    </row>
    <row r="23" spans="2:12">
      <c r="B23" s="507" t="s">
        <v>689</v>
      </c>
      <c r="C23" s="507"/>
      <c r="D23" s="507"/>
      <c r="E23" s="507"/>
      <c r="F23" s="507"/>
      <c r="G23" s="507"/>
      <c r="H23" s="507"/>
      <c r="I23" s="507"/>
      <c r="J23" s="507"/>
      <c r="K23" s="507"/>
      <c r="L23" s="507"/>
    </row>
    <row r="24" spans="2:12">
      <c r="B24" s="507" t="s">
        <v>1013</v>
      </c>
      <c r="C24" s="507"/>
      <c r="D24" s="507"/>
      <c r="E24" s="507"/>
      <c r="F24" s="507"/>
      <c r="G24" s="507"/>
      <c r="H24" s="507"/>
      <c r="I24" s="507"/>
      <c r="J24" s="507"/>
      <c r="K24" s="507"/>
      <c r="L24" s="507"/>
    </row>
    <row r="25" spans="2:12">
      <c r="B25" s="507"/>
      <c r="C25" s="507"/>
      <c r="D25" s="507"/>
      <c r="E25" s="507"/>
      <c r="F25" s="507"/>
      <c r="G25" s="507"/>
      <c r="H25" s="507"/>
      <c r="I25" s="507"/>
      <c r="J25" s="507"/>
      <c r="K25" s="507"/>
      <c r="L25" s="507"/>
    </row>
    <row r="26" spans="2:12">
      <c r="B26" s="507"/>
      <c r="C26" s="507"/>
      <c r="D26" s="507"/>
      <c r="E26" s="574" t="s">
        <v>1014</v>
      </c>
      <c r="F26" s="507"/>
      <c r="G26" s="507"/>
      <c r="H26" s="507"/>
      <c r="I26" s="574" t="s">
        <v>1083</v>
      </c>
      <c r="J26" s="507"/>
      <c r="L26" s="507"/>
    </row>
    <row r="27" spans="2:12">
      <c r="B27" s="507"/>
      <c r="C27" s="507"/>
      <c r="D27" s="507"/>
      <c r="E27" s="574"/>
      <c r="F27" s="507"/>
      <c r="G27" s="507"/>
      <c r="H27" s="507"/>
      <c r="I27" s="574"/>
      <c r="J27" s="507"/>
      <c r="K27" s="507"/>
      <c r="L27" s="507"/>
    </row>
    <row r="28" spans="2:12">
      <c r="B28" s="507" t="s">
        <v>1084</v>
      </c>
      <c r="C28" s="507"/>
      <c r="D28" s="507"/>
      <c r="E28" s="594"/>
      <c r="F28" s="507"/>
      <c r="G28" s="507"/>
      <c r="H28" s="507"/>
      <c r="I28" s="594"/>
      <c r="J28" s="507"/>
      <c r="K28" s="507"/>
      <c r="L28" s="507"/>
    </row>
    <row r="29" spans="2:12">
      <c r="B29" s="507" t="s">
        <v>58</v>
      </c>
      <c r="C29" s="507"/>
      <c r="D29" s="507"/>
      <c r="E29" s="594"/>
      <c r="F29" s="507"/>
      <c r="G29" s="507"/>
      <c r="H29" s="507"/>
      <c r="I29" s="594"/>
      <c r="J29" s="507"/>
      <c r="K29" s="507"/>
      <c r="L29" s="507"/>
    </row>
    <row r="30" spans="2:12">
      <c r="B30" s="507" t="s">
        <v>1631</v>
      </c>
      <c r="C30" s="507"/>
      <c r="D30" s="507"/>
      <c r="E30" s="594"/>
      <c r="F30" s="507"/>
      <c r="G30" s="507"/>
      <c r="H30" s="507"/>
      <c r="I30" s="594"/>
      <c r="J30" s="507"/>
      <c r="K30" s="507"/>
      <c r="L30" s="507"/>
    </row>
    <row r="31" spans="2:12">
      <c r="B31" s="507" t="s">
        <v>1632</v>
      </c>
      <c r="C31" s="507"/>
      <c r="D31" s="507"/>
      <c r="E31" s="594"/>
      <c r="F31" s="507"/>
      <c r="G31" s="507"/>
      <c r="H31" s="507"/>
      <c r="I31" s="594"/>
      <c r="J31" s="507"/>
      <c r="K31" s="507"/>
      <c r="L31" s="507"/>
    </row>
    <row r="32" spans="2:12">
      <c r="B32" s="507" t="s">
        <v>1633</v>
      </c>
      <c r="C32" s="507"/>
      <c r="D32" s="507"/>
      <c r="E32" s="594"/>
      <c r="F32" s="507"/>
      <c r="G32" s="507"/>
      <c r="H32" s="507"/>
      <c r="I32" s="594"/>
      <c r="J32" s="507"/>
      <c r="K32" s="507"/>
      <c r="L32" s="507"/>
    </row>
    <row r="33" spans="2:12">
      <c r="B33" s="507"/>
      <c r="C33" s="507" t="s">
        <v>1634</v>
      </c>
      <c r="D33" s="507"/>
      <c r="E33" s="595"/>
      <c r="F33" s="507"/>
      <c r="G33" s="507"/>
      <c r="H33" s="507"/>
      <c r="I33" s="595"/>
      <c r="J33" s="507"/>
      <c r="K33" s="507"/>
      <c r="L33" s="507"/>
    </row>
    <row r="34" spans="2:12">
      <c r="B34" s="507"/>
      <c r="C34" s="507" t="s">
        <v>1616</v>
      </c>
      <c r="D34" s="507"/>
      <c r="E34" s="596"/>
      <c r="F34" s="507"/>
      <c r="G34" s="507"/>
      <c r="H34" s="507"/>
      <c r="I34" s="596"/>
      <c r="J34" s="507"/>
      <c r="K34" s="507"/>
      <c r="L34" s="507"/>
    </row>
    <row r="35" spans="2:12">
      <c r="B35" s="507" t="s">
        <v>1635</v>
      </c>
      <c r="C35" s="196"/>
      <c r="D35" s="196"/>
      <c r="E35" s="594"/>
      <c r="F35" s="196"/>
      <c r="G35" s="196"/>
      <c r="H35" s="196"/>
      <c r="I35" s="594"/>
      <c r="J35" s="507"/>
      <c r="K35" s="507"/>
      <c r="L35" s="507"/>
    </row>
    <row r="36" spans="2:12">
      <c r="B36" s="507"/>
      <c r="C36" s="196" t="s">
        <v>1634</v>
      </c>
      <c r="D36" s="196"/>
      <c r="E36" s="595"/>
      <c r="F36" s="196"/>
      <c r="G36" s="196"/>
      <c r="H36" s="196"/>
      <c r="I36" s="595"/>
      <c r="J36" s="507"/>
      <c r="K36" s="507"/>
      <c r="L36" s="507"/>
    </row>
    <row r="37" spans="2:12">
      <c r="B37" s="507"/>
      <c r="C37" s="196" t="s">
        <v>1616</v>
      </c>
      <c r="D37" s="196"/>
      <c r="E37" s="596"/>
      <c r="F37" s="196"/>
      <c r="G37" s="196"/>
      <c r="H37" s="196"/>
      <c r="I37" s="596"/>
      <c r="J37" s="507"/>
      <c r="K37" s="507"/>
      <c r="L37" s="507"/>
    </row>
    <row r="38" spans="2:12">
      <c r="B38" s="507" t="s">
        <v>60</v>
      </c>
      <c r="C38" s="507"/>
      <c r="D38" s="507"/>
      <c r="E38" s="594"/>
      <c r="F38" s="507"/>
      <c r="G38" s="507"/>
      <c r="H38" s="507"/>
      <c r="I38" s="594"/>
      <c r="J38" s="507"/>
      <c r="K38" s="507"/>
      <c r="L38" s="507"/>
    </row>
    <row r="39" spans="2:12">
      <c r="B39" s="507" t="s">
        <v>59</v>
      </c>
      <c r="C39" s="196"/>
      <c r="D39" s="196"/>
      <c r="E39" s="594"/>
      <c r="F39" s="196"/>
      <c r="G39" s="196"/>
      <c r="H39" s="196"/>
      <c r="I39" s="594"/>
      <c r="J39" s="507"/>
      <c r="K39" s="507"/>
      <c r="L39" s="507"/>
    </row>
    <row r="40" spans="2:12">
      <c r="B40" s="507" t="s">
        <v>1636</v>
      </c>
      <c r="C40" s="196"/>
      <c r="D40" s="196"/>
      <c r="E40" s="594"/>
      <c r="F40" s="196"/>
      <c r="G40" s="196"/>
      <c r="H40" s="196"/>
      <c r="I40" s="594"/>
      <c r="J40" s="507"/>
      <c r="K40" s="507"/>
      <c r="L40" s="507"/>
    </row>
    <row r="41" spans="2:12">
      <c r="B41" s="507" t="s">
        <v>731</v>
      </c>
      <c r="C41" s="196"/>
      <c r="D41" s="196"/>
      <c r="E41" s="594"/>
      <c r="F41" s="196"/>
      <c r="G41" s="196"/>
      <c r="H41" s="196"/>
      <c r="I41" s="594"/>
      <c r="J41" s="507"/>
      <c r="K41" s="507"/>
      <c r="L41" s="507"/>
    </row>
    <row r="42" spans="2:12">
      <c r="B42" s="507"/>
      <c r="C42" s="507"/>
      <c r="D42" s="507"/>
      <c r="E42" s="507"/>
      <c r="F42" s="507"/>
      <c r="G42" s="507"/>
      <c r="H42" s="507"/>
      <c r="I42" s="507"/>
      <c r="J42" s="507"/>
      <c r="K42" s="507"/>
      <c r="L42" s="507"/>
    </row>
    <row r="43" spans="2:12" ht="18">
      <c r="B43" s="1483" t="s">
        <v>1637</v>
      </c>
      <c r="C43" s="1483"/>
      <c r="D43" s="1483"/>
      <c r="E43" s="1483"/>
      <c r="F43" s="1483"/>
      <c r="G43" s="1483"/>
      <c r="H43" s="1483"/>
      <c r="I43" s="1483"/>
      <c r="J43" s="1483"/>
      <c r="K43" s="1483"/>
    </row>
    <row r="44" spans="2:12">
      <c r="B44" s="507"/>
      <c r="C44" s="507"/>
      <c r="D44" s="507"/>
      <c r="E44" s="507"/>
      <c r="F44" s="507"/>
      <c r="G44" s="507"/>
      <c r="H44" s="507"/>
      <c r="I44" s="507"/>
      <c r="J44" s="507"/>
      <c r="K44" s="507"/>
    </row>
    <row r="45" spans="2:12">
      <c r="B45" s="507" t="s">
        <v>1638</v>
      </c>
      <c r="C45" s="507"/>
      <c r="D45" s="507"/>
      <c r="E45" s="507"/>
      <c r="F45" s="507"/>
      <c r="G45" s="507"/>
      <c r="H45" s="507"/>
      <c r="I45" s="507"/>
      <c r="J45" s="507"/>
      <c r="K45" s="507"/>
    </row>
    <row r="46" spans="2:12">
      <c r="B46" s="507"/>
      <c r="C46" s="507"/>
      <c r="D46" s="507"/>
      <c r="E46" s="507"/>
      <c r="F46" s="507"/>
      <c r="G46" s="507"/>
      <c r="H46" s="507"/>
      <c r="I46" s="507"/>
      <c r="J46" s="507"/>
      <c r="K46" s="507"/>
    </row>
    <row r="47" spans="2:12">
      <c r="B47" s="569" t="s">
        <v>1639</v>
      </c>
      <c r="C47" s="507" t="s">
        <v>1169</v>
      </c>
      <c r="D47" s="507"/>
      <c r="E47" s="507"/>
      <c r="F47" s="507"/>
      <c r="G47" s="507"/>
      <c r="H47" s="507"/>
      <c r="I47" s="507"/>
      <c r="J47" s="507"/>
      <c r="K47" s="507"/>
    </row>
    <row r="48" spans="2:12">
      <c r="B48" s="507"/>
      <c r="C48" s="507"/>
      <c r="D48" s="507"/>
      <c r="E48" s="507"/>
      <c r="F48" s="507"/>
      <c r="G48" s="507"/>
      <c r="H48" s="507"/>
      <c r="I48" s="507"/>
      <c r="J48" s="507"/>
      <c r="K48" s="507"/>
    </row>
    <row r="49" spans="2:11">
      <c r="B49" s="507"/>
      <c r="C49" s="507"/>
      <c r="D49" s="580" t="s">
        <v>1523</v>
      </c>
      <c r="E49" s="599">
        <f>+Syndication!I60</f>
        <v>0</v>
      </c>
      <c r="F49" s="507"/>
      <c r="G49" s="507"/>
      <c r="H49" s="833" t="s">
        <v>1528</v>
      </c>
      <c r="I49" s="599">
        <f>+Syndication!I65</f>
        <v>0</v>
      </c>
      <c r="J49" s="507"/>
      <c r="K49" s="507"/>
    </row>
    <row r="50" spans="2:11">
      <c r="B50" s="507"/>
      <c r="C50" s="507"/>
      <c r="D50" s="580" t="s">
        <v>1524</v>
      </c>
      <c r="E50" s="599">
        <f>+Syndication!I61</f>
        <v>0</v>
      </c>
      <c r="F50" s="507"/>
      <c r="G50" s="507"/>
      <c r="H50" s="833" t="s">
        <v>1529</v>
      </c>
      <c r="I50" s="599">
        <f>+Syndication!I66</f>
        <v>0</v>
      </c>
      <c r="J50" s="507"/>
      <c r="K50" s="507"/>
    </row>
    <row r="51" spans="2:11">
      <c r="B51" s="507"/>
      <c r="C51" s="507"/>
      <c r="D51" s="580" t="s">
        <v>1525</v>
      </c>
      <c r="E51" s="599">
        <f>+Syndication!I62</f>
        <v>0</v>
      </c>
      <c r="F51" s="507"/>
      <c r="G51" s="507"/>
      <c r="H51" s="833" t="s">
        <v>1530</v>
      </c>
      <c r="I51" s="599">
        <f>+Syndication!I67</f>
        <v>0</v>
      </c>
      <c r="J51" s="507"/>
      <c r="K51" s="507"/>
    </row>
    <row r="52" spans="2:11">
      <c r="B52" s="507"/>
      <c r="C52" s="507"/>
      <c r="D52" s="580" t="s">
        <v>1526</v>
      </c>
      <c r="E52" s="599">
        <f>+Syndication!I63</f>
        <v>0</v>
      </c>
      <c r="F52" s="507"/>
      <c r="G52" s="507"/>
      <c r="H52" s="833" t="s">
        <v>1531</v>
      </c>
      <c r="I52" s="599">
        <f>+Syndication!I68</f>
        <v>0</v>
      </c>
      <c r="J52" s="507"/>
      <c r="K52" s="507"/>
    </row>
    <row r="53" spans="2:11">
      <c r="B53" s="507"/>
      <c r="C53" s="507"/>
      <c r="D53" s="580" t="s">
        <v>1527</v>
      </c>
      <c r="E53" s="599">
        <f>+Syndication!I64</f>
        <v>0</v>
      </c>
      <c r="F53" s="507"/>
      <c r="G53" s="507"/>
      <c r="H53" s="833" t="s">
        <v>1532</v>
      </c>
      <c r="I53" s="599">
        <f>+Syndication!I69</f>
        <v>0</v>
      </c>
      <c r="J53" s="507"/>
      <c r="K53" s="507"/>
    </row>
    <row r="54" spans="2:11">
      <c r="B54" s="507"/>
      <c r="C54" s="507"/>
      <c r="D54" s="507"/>
      <c r="E54" s="507"/>
      <c r="F54" s="507"/>
      <c r="G54" s="507"/>
      <c r="H54" s="507"/>
      <c r="I54" s="598"/>
      <c r="J54" s="507"/>
      <c r="K54" s="507"/>
    </row>
    <row r="55" spans="2:11">
      <c r="B55" s="507" t="s">
        <v>198</v>
      </c>
      <c r="C55" s="507" t="s">
        <v>1085</v>
      </c>
      <c r="D55" s="507"/>
      <c r="E55" s="507"/>
      <c r="F55" s="507"/>
      <c r="G55" s="507"/>
      <c r="H55" s="507"/>
      <c r="I55" s="666"/>
      <c r="J55" s="507"/>
      <c r="K55" s="507"/>
    </row>
    <row r="56" spans="2:11">
      <c r="B56" s="507"/>
      <c r="C56" s="507"/>
      <c r="D56" s="507"/>
      <c r="E56" s="507"/>
      <c r="F56" s="507"/>
      <c r="G56" s="507"/>
      <c r="H56" s="507"/>
      <c r="I56" s="507"/>
      <c r="J56" s="507"/>
      <c r="K56" s="507"/>
    </row>
    <row r="57" spans="2:11">
      <c r="B57" s="507"/>
      <c r="C57" s="507" t="s">
        <v>1169</v>
      </c>
      <c r="D57" s="507"/>
      <c r="E57" s="507"/>
      <c r="F57" s="507"/>
      <c r="G57" s="507"/>
      <c r="H57" s="507"/>
      <c r="I57" s="507"/>
      <c r="J57" s="507"/>
      <c r="K57" s="507"/>
    </row>
    <row r="58" spans="2:11">
      <c r="B58" s="507"/>
      <c r="C58" s="507"/>
      <c r="D58" s="507"/>
      <c r="E58" s="507"/>
      <c r="F58" s="507"/>
      <c r="G58" s="507"/>
      <c r="H58" s="507"/>
      <c r="I58" s="507"/>
      <c r="J58" s="507"/>
      <c r="K58" s="507"/>
    </row>
    <row r="59" spans="2:11">
      <c r="B59" s="507"/>
      <c r="C59" s="507" t="s">
        <v>1170</v>
      </c>
      <c r="D59" s="1499"/>
      <c r="E59" s="1499"/>
      <c r="F59" s="507"/>
      <c r="G59" s="507"/>
      <c r="H59" s="507"/>
      <c r="I59" s="507"/>
      <c r="J59" s="507"/>
      <c r="K59" s="507"/>
    </row>
    <row r="60" spans="2:11">
      <c r="B60" s="507"/>
      <c r="C60" s="507" t="s">
        <v>1171</v>
      </c>
      <c r="D60" s="1499"/>
      <c r="E60" s="1499"/>
      <c r="F60" s="1121">
        <f>SUM(D59:E61)</f>
        <v>0</v>
      </c>
      <c r="G60" s="507"/>
      <c r="H60" s="507"/>
      <c r="I60" s="507"/>
      <c r="J60" s="507"/>
      <c r="K60" s="507"/>
    </row>
    <row r="61" spans="2:11">
      <c r="B61" s="507"/>
      <c r="C61" s="507" t="s">
        <v>1172</v>
      </c>
      <c r="D61" s="1499"/>
      <c r="E61" s="1499"/>
      <c r="F61" s="575" t="str">
        <f>IF(F60=I55,"", "Total of annual proceeds does not match Total Proceeds!")</f>
        <v/>
      </c>
      <c r="G61" s="507"/>
      <c r="H61" s="507"/>
      <c r="I61" s="507"/>
      <c r="J61" s="507"/>
      <c r="K61" s="507"/>
    </row>
    <row r="62" spans="2:11">
      <c r="B62" s="507"/>
      <c r="C62" s="507"/>
      <c r="D62" s="507"/>
      <c r="E62" s="507"/>
      <c r="F62" s="507"/>
      <c r="G62" s="507"/>
      <c r="H62" s="507"/>
      <c r="I62" s="507"/>
      <c r="J62" s="507"/>
      <c r="K62" s="507"/>
    </row>
    <row r="63" spans="2:11">
      <c r="B63" s="507" t="s">
        <v>669</v>
      </c>
      <c r="C63" s="507" t="s">
        <v>1086</v>
      </c>
      <c r="D63" s="507"/>
      <c r="E63" s="507"/>
      <c r="F63" s="507"/>
      <c r="G63" s="507"/>
      <c r="H63" s="507"/>
      <c r="I63" s="507"/>
      <c r="J63" s="507"/>
      <c r="K63" s="507"/>
    </row>
    <row r="64" spans="2:11">
      <c r="B64" s="507"/>
      <c r="C64" s="507"/>
      <c r="D64" s="507"/>
      <c r="E64" s="507"/>
      <c r="F64" s="507"/>
      <c r="G64" s="507"/>
      <c r="H64" s="507"/>
      <c r="I64" s="507"/>
      <c r="J64" s="507"/>
      <c r="K64" s="507"/>
    </row>
    <row r="65" spans="2:11">
      <c r="B65" s="507"/>
      <c r="C65" s="507" t="s">
        <v>1997</v>
      </c>
      <c r="D65" s="1494">
        <f>+Syndication!E17</f>
        <v>0</v>
      </c>
      <c r="E65" s="1422"/>
      <c r="F65" s="1422"/>
      <c r="G65" s="1422"/>
      <c r="H65" s="1422"/>
      <c r="I65" s="1495"/>
      <c r="J65" s="507"/>
      <c r="K65" s="507"/>
    </row>
    <row r="66" spans="2:11">
      <c r="B66" s="507"/>
      <c r="C66" s="507"/>
      <c r="D66" s="507"/>
      <c r="E66" s="507"/>
      <c r="F66" s="507"/>
      <c r="G66" s="507"/>
      <c r="H66" s="507"/>
      <c r="I66" s="507"/>
      <c r="J66" s="507"/>
      <c r="K66" s="507"/>
    </row>
    <row r="67" spans="2:11">
      <c r="B67" s="507"/>
      <c r="C67" s="507" t="s">
        <v>1998</v>
      </c>
      <c r="D67" s="1496">
        <f>+Syndication!E18</f>
        <v>0</v>
      </c>
      <c r="E67" s="1496"/>
      <c r="F67" s="1496"/>
      <c r="G67" s="1496"/>
      <c r="H67" s="1496"/>
      <c r="I67" s="1496"/>
      <c r="J67" s="507"/>
      <c r="K67" s="507"/>
    </row>
    <row r="68" spans="2:11">
      <c r="B68" s="507"/>
      <c r="C68" s="507"/>
      <c r="D68" s="507"/>
      <c r="E68" s="507"/>
      <c r="F68" s="507"/>
      <c r="G68" s="507"/>
      <c r="H68" s="507"/>
      <c r="I68" s="507"/>
      <c r="J68" s="507"/>
      <c r="K68" s="507"/>
    </row>
    <row r="69" spans="2:11">
      <c r="B69" s="507"/>
      <c r="C69" s="507" t="s">
        <v>1999</v>
      </c>
      <c r="D69" s="1497">
        <f>+Syndication!F20</f>
        <v>0</v>
      </c>
      <c r="E69" s="1498"/>
      <c r="F69" s="507"/>
      <c r="G69" s="507"/>
      <c r="H69" s="507"/>
      <c r="I69" s="507"/>
      <c r="J69" s="507"/>
      <c r="K69" s="507"/>
    </row>
    <row r="70" spans="2:11">
      <c r="B70" s="507"/>
      <c r="C70" s="507"/>
      <c r="D70" s="507"/>
      <c r="E70" s="507"/>
      <c r="F70" s="507"/>
      <c r="G70" s="507"/>
      <c r="H70" s="507"/>
      <c r="I70" s="507"/>
      <c r="J70" s="507"/>
      <c r="K70" s="507"/>
    </row>
    <row r="71" spans="2:11">
      <c r="B71" s="507" t="s">
        <v>244</v>
      </c>
      <c r="C71" s="507" t="s">
        <v>1088</v>
      </c>
      <c r="D71" s="507"/>
      <c r="E71" s="507"/>
      <c r="F71" s="507"/>
      <c r="G71" s="507"/>
      <c r="H71" s="507"/>
      <c r="I71" s="507"/>
      <c r="J71" s="507"/>
      <c r="K71" s="507"/>
    </row>
    <row r="72" spans="2:11">
      <c r="B72" s="507"/>
      <c r="C72" s="507"/>
      <c r="D72" s="507"/>
      <c r="E72" s="507"/>
      <c r="F72" s="507"/>
      <c r="G72" s="507"/>
      <c r="H72" s="507"/>
      <c r="I72" s="507"/>
      <c r="J72" s="507"/>
      <c r="K72" s="507"/>
    </row>
    <row r="73" spans="2:11">
      <c r="B73" s="507"/>
      <c r="C73" s="1467"/>
      <c r="D73" s="1467"/>
      <c r="E73" s="1467"/>
      <c r="F73" s="1467"/>
      <c r="G73" s="1467"/>
      <c r="H73" s="1467"/>
      <c r="I73" s="1467"/>
      <c r="J73" s="1467"/>
      <c r="K73" s="1467"/>
    </row>
    <row r="74" spans="2:11">
      <c r="B74" s="507"/>
      <c r="C74" s="1467"/>
      <c r="D74" s="1467"/>
      <c r="E74" s="1467"/>
      <c r="F74" s="1467"/>
      <c r="G74" s="1467"/>
      <c r="H74" s="1467"/>
      <c r="I74" s="1467"/>
      <c r="J74" s="1467"/>
      <c r="K74" s="1467"/>
    </row>
    <row r="75" spans="2:11">
      <c r="B75" s="507"/>
      <c r="C75" s="1467"/>
      <c r="D75" s="1467"/>
      <c r="E75" s="1467"/>
      <c r="F75" s="1467"/>
      <c r="G75" s="1467"/>
      <c r="H75" s="1467"/>
      <c r="I75" s="1467"/>
      <c r="J75" s="1467"/>
      <c r="K75" s="1467"/>
    </row>
    <row r="76" spans="2:11">
      <c r="B76" s="507"/>
      <c r="C76" s="1467"/>
      <c r="D76" s="1467"/>
      <c r="E76" s="1467"/>
      <c r="F76" s="1467"/>
      <c r="G76" s="1467"/>
      <c r="H76" s="1467"/>
      <c r="I76" s="1467"/>
      <c r="J76" s="1467"/>
      <c r="K76" s="1467"/>
    </row>
    <row r="77" spans="2:11">
      <c r="B77" s="507"/>
      <c r="C77" s="1467"/>
      <c r="D77" s="1467"/>
      <c r="E77" s="1467"/>
      <c r="F77" s="1467"/>
      <c r="G77" s="1467"/>
      <c r="H77" s="1467"/>
      <c r="I77" s="1467"/>
      <c r="J77" s="1467"/>
      <c r="K77" s="1467"/>
    </row>
    <row r="78" spans="2:11">
      <c r="B78" s="507"/>
      <c r="C78" s="507"/>
      <c r="D78" s="507"/>
      <c r="E78" s="507"/>
      <c r="F78" s="507"/>
      <c r="G78" s="507"/>
      <c r="H78" s="507"/>
      <c r="I78" s="507"/>
      <c r="J78" s="507"/>
      <c r="K78" s="507"/>
    </row>
    <row r="79" spans="2:11">
      <c r="B79" s="507" t="s">
        <v>184</v>
      </c>
      <c r="C79" s="507" t="s">
        <v>1089</v>
      </c>
      <c r="D79" s="507"/>
      <c r="E79" s="507"/>
      <c r="F79" s="507"/>
      <c r="G79" s="507"/>
      <c r="H79" s="507"/>
      <c r="I79" s="507"/>
      <c r="J79" s="507"/>
      <c r="K79" s="507"/>
    </row>
    <row r="81" spans="2:11" ht="18">
      <c r="B81" s="1483" t="s">
        <v>1090</v>
      </c>
      <c r="C81" s="1483"/>
      <c r="D81" s="1483"/>
      <c r="E81" s="1483"/>
      <c r="F81" s="1483"/>
      <c r="G81" s="1483"/>
      <c r="H81" s="1483"/>
      <c r="I81" s="1483"/>
      <c r="J81" s="1483"/>
      <c r="K81" s="1483"/>
    </row>
    <row r="82" spans="2:11">
      <c r="B82" s="507"/>
      <c r="C82" s="507"/>
      <c r="D82" s="507"/>
      <c r="E82" s="507"/>
      <c r="F82" s="507"/>
      <c r="G82" s="507"/>
      <c r="H82" s="507"/>
      <c r="I82" s="507"/>
      <c r="J82" s="507"/>
    </row>
    <row r="83" spans="2:11">
      <c r="B83" s="507" t="s">
        <v>1091</v>
      </c>
      <c r="C83" s="507"/>
      <c r="D83" s="507"/>
      <c r="E83" s="507"/>
      <c r="F83" s="507"/>
      <c r="G83" s="507"/>
      <c r="H83" s="507"/>
      <c r="I83" s="507"/>
      <c r="J83" s="507"/>
    </row>
    <row r="84" spans="2:11">
      <c r="B84" s="507" t="s">
        <v>1092</v>
      </c>
      <c r="C84" s="507"/>
      <c r="D84" s="507"/>
      <c r="E84" s="507"/>
      <c r="F84" s="507"/>
      <c r="G84" s="507"/>
      <c r="H84" s="507"/>
      <c r="I84" s="507"/>
      <c r="J84" s="507"/>
    </row>
    <row r="85" spans="2:11">
      <c r="B85" s="507" t="s">
        <v>1939</v>
      </c>
      <c r="C85" s="507"/>
      <c r="D85" s="507"/>
      <c r="E85" s="507"/>
      <c r="F85" s="507"/>
      <c r="G85" s="507"/>
      <c r="H85" s="507"/>
      <c r="I85" s="507"/>
      <c r="J85" s="507"/>
    </row>
    <row r="86" spans="2:11">
      <c r="B86" s="507"/>
      <c r="C86" s="507"/>
      <c r="D86" s="507"/>
      <c r="E86" s="507"/>
      <c r="F86" s="507"/>
      <c r="G86" s="507"/>
      <c r="H86" s="507"/>
      <c r="I86" s="507"/>
      <c r="J86" s="507"/>
    </row>
    <row r="87" spans="2:11" ht="28">
      <c r="B87" s="507"/>
      <c r="C87" s="507"/>
      <c r="D87" s="507"/>
      <c r="E87" s="576" t="s">
        <v>1940</v>
      </c>
      <c r="F87" s="577"/>
      <c r="G87" s="576" t="s">
        <v>1941</v>
      </c>
      <c r="H87" s="577"/>
      <c r="I87" s="576" t="s">
        <v>1942</v>
      </c>
      <c r="J87" s="507"/>
    </row>
    <row r="88" spans="2:11">
      <c r="B88" s="507"/>
      <c r="C88" s="507"/>
      <c r="D88" s="507"/>
      <c r="E88" s="507"/>
      <c r="F88" s="507"/>
      <c r="G88" s="507"/>
      <c r="H88" s="507"/>
      <c r="I88" s="507"/>
      <c r="J88" s="507"/>
    </row>
    <row r="89" spans="2:11">
      <c r="B89" s="578" t="s">
        <v>1639</v>
      </c>
      <c r="C89" s="579" t="s">
        <v>1943</v>
      </c>
      <c r="D89" s="507"/>
      <c r="E89" s="507"/>
      <c r="F89" s="507"/>
      <c r="G89" s="507"/>
      <c r="H89" s="507"/>
      <c r="I89" s="507"/>
      <c r="J89" s="507"/>
    </row>
    <row r="90" spans="2:11">
      <c r="B90" s="507"/>
      <c r="C90" s="507"/>
      <c r="D90" s="507"/>
      <c r="E90" s="507"/>
      <c r="F90" s="507"/>
      <c r="G90" s="507"/>
      <c r="H90" s="507"/>
      <c r="I90" s="507"/>
      <c r="J90" s="507"/>
    </row>
    <row r="91" spans="2:11">
      <c r="B91" s="507" t="s">
        <v>1944</v>
      </c>
      <c r="C91" s="507" t="s">
        <v>1536</v>
      </c>
      <c r="D91" s="507"/>
      <c r="E91" s="582"/>
      <c r="F91" s="570"/>
      <c r="G91" s="582"/>
      <c r="H91" s="570"/>
      <c r="I91" s="582"/>
      <c r="J91" s="507"/>
    </row>
    <row r="92" spans="2:11">
      <c r="B92" s="507" t="s">
        <v>1945</v>
      </c>
      <c r="C92" s="507" t="s">
        <v>1537</v>
      </c>
      <c r="D92" s="507"/>
      <c r="E92" s="582"/>
      <c r="F92" s="570"/>
      <c r="G92" s="582"/>
      <c r="H92" s="570"/>
      <c r="I92" s="582"/>
      <c r="J92" s="507"/>
    </row>
    <row r="93" spans="2:11">
      <c r="B93" s="507" t="s">
        <v>1946</v>
      </c>
      <c r="C93" s="507" t="s">
        <v>1947</v>
      </c>
      <c r="D93" s="507"/>
      <c r="E93" s="582"/>
      <c r="F93" s="570"/>
      <c r="G93" s="582"/>
      <c r="H93" s="570"/>
      <c r="I93" s="582"/>
      <c r="J93" s="507"/>
    </row>
    <row r="94" spans="2:11">
      <c r="B94" s="507" t="s">
        <v>1948</v>
      </c>
      <c r="C94" s="507" t="s">
        <v>1949</v>
      </c>
      <c r="D94" s="507"/>
      <c r="E94" s="582"/>
      <c r="F94" s="570"/>
      <c r="G94" s="582"/>
      <c r="H94" s="570"/>
      <c r="I94" s="582"/>
      <c r="J94" s="507"/>
    </row>
    <row r="95" spans="2:11">
      <c r="B95" s="507" t="s">
        <v>1950</v>
      </c>
      <c r="C95" s="507" t="s">
        <v>621</v>
      </c>
      <c r="D95" s="507"/>
      <c r="E95" s="582"/>
      <c r="F95" s="570"/>
      <c r="G95" s="582"/>
      <c r="H95" s="570"/>
      <c r="I95" s="582"/>
      <c r="J95" s="507"/>
    </row>
    <row r="96" spans="2:11">
      <c r="B96" s="507" t="s">
        <v>1951</v>
      </c>
      <c r="C96" s="507" t="s">
        <v>1952</v>
      </c>
      <c r="D96" s="507"/>
      <c r="E96" s="582"/>
      <c r="F96" s="570"/>
      <c r="G96" s="582"/>
      <c r="H96" s="570"/>
      <c r="I96" s="582"/>
      <c r="J96" s="507"/>
    </row>
    <row r="97" spans="2:10">
      <c r="B97" s="507" t="s">
        <v>1953</v>
      </c>
      <c r="C97" s="507" t="s">
        <v>80</v>
      </c>
      <c r="D97" s="507"/>
      <c r="E97" s="582"/>
      <c r="F97" s="570"/>
      <c r="G97" s="582"/>
      <c r="H97" s="570"/>
      <c r="I97" s="582"/>
      <c r="J97" s="507"/>
    </row>
    <row r="98" spans="2:10">
      <c r="B98" s="507"/>
      <c r="C98" s="580" t="s">
        <v>94</v>
      </c>
      <c r="D98" s="507"/>
      <c r="E98" s="592">
        <f>SUM(E91:E97)</f>
        <v>0</v>
      </c>
      <c r="F98" s="570"/>
      <c r="G98" s="592">
        <f>SUM(G91:G97)</f>
        <v>0</v>
      </c>
      <c r="H98" s="570"/>
      <c r="I98" s="592">
        <f>SUM(I91:I97)</f>
        <v>0</v>
      </c>
      <c r="J98" s="507"/>
    </row>
    <row r="99" spans="2:10">
      <c r="B99" s="507"/>
      <c r="C99" s="575"/>
      <c r="D99" s="507"/>
      <c r="E99" s="570"/>
      <c r="F99" s="570"/>
      <c r="G99" s="570"/>
      <c r="H99" s="570"/>
      <c r="I99" s="570"/>
      <c r="J99" s="507"/>
    </row>
    <row r="100" spans="2:10">
      <c r="B100" s="578" t="s">
        <v>198</v>
      </c>
      <c r="C100" s="579" t="s">
        <v>1954</v>
      </c>
      <c r="D100" s="507"/>
      <c r="E100" s="570"/>
      <c r="F100" s="570"/>
      <c r="G100" s="570"/>
      <c r="H100" s="570"/>
      <c r="I100" s="570"/>
      <c r="J100" s="507"/>
    </row>
    <row r="101" spans="2:10">
      <c r="B101" s="507"/>
      <c r="C101" s="507"/>
      <c r="D101" s="507"/>
      <c r="E101" s="570"/>
      <c r="F101" s="570"/>
      <c r="G101" s="570"/>
      <c r="H101" s="570"/>
      <c r="I101" s="570"/>
      <c r="J101" s="507"/>
    </row>
    <row r="102" spans="2:10">
      <c r="B102" s="507" t="s">
        <v>1944</v>
      </c>
      <c r="C102" s="507" t="s">
        <v>1536</v>
      </c>
      <c r="D102" s="507"/>
      <c r="E102" s="582"/>
      <c r="F102" s="570"/>
      <c r="G102" s="582"/>
      <c r="H102" s="570"/>
      <c r="I102" s="582"/>
      <c r="J102" s="507"/>
    </row>
    <row r="103" spans="2:10">
      <c r="B103" s="507" t="s">
        <v>1945</v>
      </c>
      <c r="C103" s="507" t="s">
        <v>1537</v>
      </c>
      <c r="D103" s="507"/>
      <c r="E103" s="582"/>
      <c r="F103" s="570"/>
      <c r="G103" s="582"/>
      <c r="H103" s="570"/>
      <c r="I103" s="582"/>
      <c r="J103" s="507"/>
    </row>
    <row r="104" spans="2:10">
      <c r="B104" s="507" t="s">
        <v>1946</v>
      </c>
      <c r="C104" s="507" t="s">
        <v>1947</v>
      </c>
      <c r="D104" s="507"/>
      <c r="E104" s="582"/>
      <c r="F104" s="570"/>
      <c r="G104" s="582"/>
      <c r="H104" s="570"/>
      <c r="I104" s="582"/>
      <c r="J104" s="507"/>
    </row>
    <row r="105" spans="2:10">
      <c r="B105" s="507" t="s">
        <v>1948</v>
      </c>
      <c r="C105" s="507" t="s">
        <v>1955</v>
      </c>
      <c r="D105" s="507"/>
      <c r="E105" s="582"/>
      <c r="F105" s="570"/>
      <c r="G105" s="582"/>
      <c r="H105" s="570"/>
      <c r="I105" s="582"/>
      <c r="J105" s="507"/>
    </row>
    <row r="106" spans="2:10">
      <c r="B106" s="507" t="s">
        <v>1950</v>
      </c>
      <c r="C106" s="507" t="s">
        <v>621</v>
      </c>
      <c r="D106" s="507"/>
      <c r="E106" s="582"/>
      <c r="F106" s="570"/>
      <c r="G106" s="582"/>
      <c r="H106" s="570"/>
      <c r="I106" s="582"/>
      <c r="J106" s="507"/>
    </row>
    <row r="107" spans="2:10">
      <c r="B107" s="507" t="s">
        <v>1951</v>
      </c>
      <c r="C107" s="507" t="s">
        <v>1952</v>
      </c>
      <c r="D107" s="507"/>
      <c r="E107" s="582"/>
      <c r="F107" s="570"/>
      <c r="G107" s="582"/>
      <c r="H107" s="570"/>
      <c r="I107" s="582"/>
      <c r="J107" s="507"/>
    </row>
    <row r="108" spans="2:10">
      <c r="B108" s="507" t="s">
        <v>1953</v>
      </c>
      <c r="C108" s="507" t="s">
        <v>80</v>
      </c>
      <c r="D108" s="507"/>
      <c r="E108" s="582"/>
      <c r="F108" s="570"/>
      <c r="G108" s="582"/>
      <c r="H108" s="570"/>
      <c r="I108" s="582"/>
      <c r="J108" s="507"/>
    </row>
    <row r="109" spans="2:10">
      <c r="B109" s="507" t="s">
        <v>1956</v>
      </c>
      <c r="C109" s="507" t="s">
        <v>80</v>
      </c>
      <c r="D109" s="507"/>
      <c r="E109" s="582"/>
      <c r="F109" s="570"/>
      <c r="G109" s="582"/>
      <c r="H109" s="570"/>
      <c r="I109" s="582"/>
      <c r="J109" s="507"/>
    </row>
    <row r="110" spans="2:10">
      <c r="B110" s="507" t="s">
        <v>1957</v>
      </c>
      <c r="C110" s="507" t="s">
        <v>80</v>
      </c>
      <c r="D110" s="507"/>
      <c r="E110" s="582"/>
      <c r="F110" s="570"/>
      <c r="G110" s="582"/>
      <c r="H110" s="570"/>
      <c r="I110" s="582"/>
      <c r="J110" s="507"/>
    </row>
    <row r="111" spans="2:10">
      <c r="B111" s="507"/>
      <c r="C111" s="580" t="s">
        <v>94</v>
      </c>
      <c r="D111" s="507"/>
      <c r="E111" s="592">
        <f>SUM(E102:E110)</f>
        <v>0</v>
      </c>
      <c r="F111" s="570"/>
      <c r="G111" s="592">
        <f>SUM(G102:G110)</f>
        <v>0</v>
      </c>
      <c r="H111" s="570"/>
      <c r="I111" s="592">
        <f>SUM(I102:I110)</f>
        <v>0</v>
      </c>
      <c r="J111" s="507"/>
    </row>
    <row r="112" spans="2:10">
      <c r="B112" s="507"/>
      <c r="C112" s="575"/>
      <c r="D112" s="507"/>
      <c r="E112" s="570"/>
      <c r="F112" s="570"/>
      <c r="G112" s="570"/>
      <c r="H112" s="570"/>
      <c r="I112" s="570"/>
      <c r="J112" s="507"/>
    </row>
    <row r="113" spans="2:11">
      <c r="B113" s="578" t="s">
        <v>669</v>
      </c>
      <c r="C113" s="579" t="s">
        <v>381</v>
      </c>
      <c r="D113" s="507"/>
      <c r="E113" s="570"/>
      <c r="F113" s="570"/>
      <c r="G113" s="570"/>
      <c r="H113" s="570"/>
      <c r="I113" s="570"/>
      <c r="J113" s="507"/>
    </row>
    <row r="114" spans="2:11">
      <c r="B114" s="507"/>
      <c r="C114" s="507"/>
      <c r="D114" s="507"/>
      <c r="E114" s="570"/>
      <c r="F114" s="570"/>
      <c r="G114" s="570"/>
      <c r="H114" s="570"/>
      <c r="I114" s="570"/>
      <c r="J114" s="507"/>
    </row>
    <row r="115" spans="2:11">
      <c r="B115" s="507" t="s">
        <v>1944</v>
      </c>
      <c r="C115" s="507" t="s">
        <v>382</v>
      </c>
      <c r="D115" s="507"/>
      <c r="E115" s="582"/>
      <c r="F115" s="570"/>
      <c r="G115" s="582"/>
      <c r="H115" s="570"/>
      <c r="I115" s="582"/>
      <c r="J115" s="507"/>
    </row>
    <row r="116" spans="2:11">
      <c r="B116" s="507" t="s">
        <v>1945</v>
      </c>
      <c r="C116" s="507" t="s">
        <v>383</v>
      </c>
      <c r="D116" s="507"/>
      <c r="E116" s="582"/>
      <c r="F116" s="570"/>
      <c r="G116" s="582"/>
      <c r="H116" s="570"/>
      <c r="I116" s="582"/>
      <c r="J116" s="507"/>
    </row>
    <row r="117" spans="2:11">
      <c r="B117" s="507" t="s">
        <v>1946</v>
      </c>
      <c r="C117" s="507" t="s">
        <v>384</v>
      </c>
      <c r="D117" s="507"/>
      <c r="E117" s="582"/>
      <c r="F117" s="570"/>
      <c r="G117" s="582"/>
      <c r="H117" s="570"/>
      <c r="I117" s="582"/>
      <c r="J117" s="507"/>
    </row>
    <row r="118" spans="2:11">
      <c r="B118" s="507" t="s">
        <v>1948</v>
      </c>
      <c r="C118" s="507" t="s">
        <v>80</v>
      </c>
      <c r="D118" s="507"/>
      <c r="E118" s="582"/>
      <c r="F118" s="570"/>
      <c r="G118" s="582"/>
      <c r="H118" s="570"/>
      <c r="I118" s="582"/>
      <c r="J118" s="507"/>
    </row>
    <row r="119" spans="2:11">
      <c r="B119" s="507"/>
      <c r="C119" s="580" t="s">
        <v>94</v>
      </c>
      <c r="D119" s="507"/>
      <c r="E119" s="592">
        <f>SUM(E115:E118)</f>
        <v>0</v>
      </c>
      <c r="F119" s="570"/>
      <c r="G119" s="592">
        <f>SUM(G115:G118)</f>
        <v>0</v>
      </c>
      <c r="H119" s="570"/>
      <c r="I119" s="592">
        <f>SUM(I115:I118)</f>
        <v>0</v>
      </c>
      <c r="J119" s="507"/>
      <c r="K119" s="374" t="e">
        <f>Cover!$H$6</f>
        <v>#N/A</v>
      </c>
    </row>
    <row r="120" spans="2:11">
      <c r="B120" s="507"/>
      <c r="C120" s="575"/>
      <c r="D120" s="507"/>
      <c r="E120" s="570"/>
      <c r="F120" s="570"/>
      <c r="G120" s="570"/>
      <c r="H120" s="570"/>
      <c r="I120" s="570"/>
      <c r="J120" s="507"/>
    </row>
    <row r="121" spans="2:11">
      <c r="B121" s="578" t="s">
        <v>244</v>
      </c>
      <c r="C121" s="579" t="s">
        <v>385</v>
      </c>
      <c r="D121" s="507"/>
      <c r="E121" s="570"/>
      <c r="F121" s="570"/>
      <c r="G121" s="570"/>
      <c r="H121" s="570"/>
      <c r="I121" s="570"/>
      <c r="J121" s="507"/>
    </row>
    <row r="122" spans="2:11">
      <c r="B122" s="507"/>
      <c r="C122" s="507"/>
      <c r="D122" s="507"/>
      <c r="E122" s="570"/>
      <c r="F122" s="570"/>
      <c r="G122" s="570"/>
      <c r="H122" s="570"/>
      <c r="I122" s="570"/>
      <c r="J122" s="507"/>
    </row>
    <row r="123" spans="2:11">
      <c r="B123" s="507" t="s">
        <v>1944</v>
      </c>
      <c r="C123" s="507" t="s">
        <v>386</v>
      </c>
      <c r="D123" s="507"/>
      <c r="E123" s="582"/>
      <c r="F123" s="570"/>
      <c r="G123" s="582"/>
      <c r="H123" s="570"/>
      <c r="I123" s="582"/>
      <c r="J123" s="507"/>
    </row>
    <row r="124" spans="2:11">
      <c r="B124" s="507" t="s">
        <v>1945</v>
      </c>
      <c r="C124" s="507" t="s">
        <v>801</v>
      </c>
      <c r="D124" s="507"/>
      <c r="E124" s="582"/>
      <c r="F124" s="570"/>
      <c r="G124" s="582"/>
      <c r="H124" s="570"/>
      <c r="I124" s="582"/>
      <c r="J124" s="507"/>
    </row>
    <row r="125" spans="2:11">
      <c r="B125" s="507" t="s">
        <v>1946</v>
      </c>
      <c r="C125" s="507" t="s">
        <v>802</v>
      </c>
      <c r="D125" s="507"/>
      <c r="E125" s="582"/>
      <c r="F125" s="570"/>
      <c r="G125" s="582"/>
      <c r="H125" s="570"/>
      <c r="I125" s="582"/>
      <c r="J125" s="507"/>
    </row>
    <row r="126" spans="2:11">
      <c r="B126" s="507" t="s">
        <v>1948</v>
      </c>
      <c r="C126" s="507" t="s">
        <v>80</v>
      </c>
      <c r="D126" s="507"/>
      <c r="E126" s="582"/>
      <c r="F126" s="570"/>
      <c r="G126" s="582"/>
      <c r="H126" s="570"/>
      <c r="I126" s="582"/>
      <c r="J126" s="507"/>
    </row>
    <row r="127" spans="2:11">
      <c r="B127" s="507"/>
      <c r="C127" s="575"/>
      <c r="D127" s="507"/>
      <c r="E127" s="570"/>
      <c r="F127" s="570"/>
      <c r="G127" s="570"/>
      <c r="H127" s="570"/>
      <c r="I127" s="570"/>
      <c r="J127" s="507"/>
    </row>
    <row r="128" spans="2:11">
      <c r="B128" s="578" t="s">
        <v>184</v>
      </c>
      <c r="C128" s="579" t="s">
        <v>1434</v>
      </c>
      <c r="D128" s="507"/>
      <c r="E128" s="570"/>
      <c r="F128" s="570"/>
      <c r="G128" s="570"/>
      <c r="H128" s="570"/>
      <c r="I128" s="570"/>
      <c r="J128" s="507"/>
    </row>
    <row r="129" spans="2:11">
      <c r="B129" s="507"/>
      <c r="C129" s="507"/>
      <c r="D129" s="507"/>
      <c r="E129" s="570"/>
      <c r="F129" s="570"/>
      <c r="G129" s="570"/>
      <c r="H129" s="570"/>
      <c r="I129" s="570"/>
      <c r="J129" s="507"/>
    </row>
    <row r="130" spans="2:11">
      <c r="B130" s="507" t="s">
        <v>1944</v>
      </c>
      <c r="C130" s="507" t="s">
        <v>1087</v>
      </c>
      <c r="D130" s="507"/>
      <c r="E130" s="570"/>
      <c r="F130" s="570"/>
      <c r="G130" s="570"/>
      <c r="H130" s="570"/>
      <c r="I130" s="570"/>
      <c r="J130" s="507"/>
    </row>
    <row r="131" spans="2:11">
      <c r="B131" s="507"/>
      <c r="C131" s="507" t="s">
        <v>734</v>
      </c>
      <c r="D131" s="507"/>
      <c r="E131" s="582"/>
      <c r="F131" s="570"/>
      <c r="G131" s="582"/>
      <c r="H131" s="570"/>
      <c r="I131" s="582"/>
      <c r="J131" s="507"/>
    </row>
    <row r="132" spans="2:11">
      <c r="B132" s="507"/>
      <c r="C132" s="507" t="s">
        <v>61</v>
      </c>
      <c r="D132" s="507"/>
      <c r="E132" s="582"/>
      <c r="F132" s="570"/>
      <c r="G132" s="582"/>
      <c r="H132" s="570"/>
      <c r="I132" s="582"/>
      <c r="J132" s="507"/>
    </row>
    <row r="133" spans="2:11">
      <c r="B133" s="507"/>
      <c r="C133" s="507" t="s">
        <v>1435</v>
      </c>
      <c r="D133" s="507"/>
      <c r="E133" s="582"/>
      <c r="F133" s="570"/>
      <c r="G133" s="582"/>
      <c r="H133" s="570"/>
      <c r="I133" s="582"/>
      <c r="J133" s="507"/>
    </row>
    <row r="134" spans="2:11">
      <c r="B134" s="507"/>
      <c r="C134" s="575"/>
      <c r="D134" s="507"/>
      <c r="E134" s="570"/>
      <c r="F134" s="570"/>
      <c r="G134" s="570"/>
      <c r="H134" s="570"/>
      <c r="I134" s="570"/>
      <c r="J134" s="507"/>
    </row>
    <row r="135" spans="2:11">
      <c r="B135" s="507" t="s">
        <v>1945</v>
      </c>
      <c r="C135" s="507" t="s">
        <v>1436</v>
      </c>
      <c r="D135" s="507"/>
      <c r="E135" s="570"/>
      <c r="F135" s="570"/>
      <c r="G135" s="570"/>
      <c r="H135" s="570"/>
      <c r="I135" s="570"/>
      <c r="J135" s="507"/>
    </row>
    <row r="136" spans="2:11">
      <c r="B136" s="507"/>
      <c r="C136" s="507" t="s">
        <v>734</v>
      </c>
      <c r="D136" s="507"/>
      <c r="E136" s="582"/>
      <c r="F136" s="570"/>
      <c r="G136" s="582"/>
      <c r="H136" s="570"/>
      <c r="I136" s="582"/>
      <c r="J136" s="507"/>
    </row>
    <row r="137" spans="2:11">
      <c r="B137" s="507"/>
      <c r="C137" s="507" t="s">
        <v>1080</v>
      </c>
      <c r="D137" s="507"/>
      <c r="E137" s="582"/>
      <c r="F137" s="570"/>
      <c r="G137" s="582"/>
      <c r="H137" s="570"/>
      <c r="I137" s="582"/>
      <c r="J137" s="507"/>
    </row>
    <row r="138" spans="2:11">
      <c r="B138" s="507"/>
      <c r="C138" s="507" t="s">
        <v>1079</v>
      </c>
      <c r="D138" s="507"/>
      <c r="E138" s="582"/>
      <c r="F138" s="570"/>
      <c r="G138" s="582"/>
      <c r="H138" s="570"/>
      <c r="I138" s="582"/>
      <c r="J138" s="507"/>
    </row>
    <row r="139" spans="2:11">
      <c r="B139" s="507"/>
      <c r="C139" s="507" t="s">
        <v>1437</v>
      </c>
      <c r="D139" s="507"/>
      <c r="E139" s="582"/>
      <c r="F139" s="570"/>
      <c r="G139" s="582"/>
      <c r="H139" s="570"/>
      <c r="I139" s="582"/>
      <c r="J139" s="507"/>
    </row>
    <row r="140" spans="2:11">
      <c r="B140" s="507"/>
      <c r="C140" s="575"/>
      <c r="D140" s="507"/>
      <c r="E140" s="507"/>
      <c r="F140" s="507"/>
      <c r="G140" s="507"/>
      <c r="H140" s="507"/>
      <c r="I140" s="507"/>
      <c r="J140" s="507"/>
    </row>
    <row r="141" spans="2:11" ht="18">
      <c r="B141" s="1483" t="s">
        <v>1054</v>
      </c>
      <c r="C141" s="1483"/>
      <c r="D141" s="1483"/>
      <c r="E141" s="1483"/>
      <c r="F141" s="1483"/>
      <c r="G141" s="1483"/>
      <c r="H141" s="1483"/>
      <c r="I141" s="1483"/>
      <c r="J141" s="1483"/>
      <c r="K141" s="1483"/>
    </row>
    <row r="142" spans="2:11">
      <c r="B142" s="507"/>
      <c r="C142" s="507"/>
      <c r="D142" s="164"/>
      <c r="E142" s="20"/>
      <c r="F142" s="20"/>
      <c r="G142" s="20"/>
      <c r="H142" s="181"/>
      <c r="I142" s="176" t="s">
        <v>1233</v>
      </c>
      <c r="J142" s="1"/>
    </row>
    <row r="143" spans="2:11">
      <c r="B143" s="507"/>
      <c r="C143" s="507"/>
      <c r="D143" s="164"/>
      <c r="E143" s="174" t="str">
        <f>+'Sources&amp;Uses'!B31</f>
        <v>Rehabilitation Hard Costs</v>
      </c>
      <c r="F143" s="175"/>
      <c r="G143" s="177"/>
      <c r="H143" s="182"/>
      <c r="I143" s="708">
        <f>+'Sources&amp;Uses'!F31</f>
        <v>0</v>
      </c>
      <c r="J143" s="1"/>
    </row>
    <row r="144" spans="2:11">
      <c r="B144" s="507"/>
      <c r="C144" s="507"/>
      <c r="D144" s="164"/>
      <c r="E144" s="174" t="str">
        <f>+'Sources&amp;Uses'!B32</f>
        <v>Construction Hard Costs</v>
      </c>
      <c r="F144" s="177"/>
      <c r="G144" s="177"/>
      <c r="H144" s="182"/>
      <c r="I144" s="708">
        <f>+'Sources&amp;Uses'!F32</f>
        <v>0</v>
      </c>
      <c r="J144" s="1"/>
    </row>
    <row r="145" spans="2:10">
      <c r="B145" s="507"/>
      <c r="C145" s="507"/>
      <c r="D145" s="164"/>
      <c r="E145" s="174" t="str">
        <f>+'Sources&amp;Uses'!B33</f>
        <v>Total Soft Costs</v>
      </c>
      <c r="F145" s="177"/>
      <c r="G145" s="177"/>
      <c r="H145" s="182"/>
      <c r="I145" s="708">
        <f>+'Sources&amp;Uses'!F33</f>
        <v>0</v>
      </c>
      <c r="J145" s="1"/>
    </row>
    <row r="146" spans="2:10">
      <c r="B146" s="507"/>
      <c r="C146" s="507"/>
      <c r="D146" s="164"/>
      <c r="E146" s="174" t="str">
        <f>+'Sources&amp;Uses'!B34</f>
        <v>Acquisition Costs:</v>
      </c>
      <c r="F146" s="177"/>
      <c r="G146" s="177"/>
      <c r="H146" s="183"/>
      <c r="I146" s="709"/>
      <c r="J146" s="1"/>
    </row>
    <row r="147" spans="2:10">
      <c r="B147" s="507"/>
      <c r="C147" s="507"/>
      <c r="D147" s="164"/>
      <c r="E147" s="174" t="str">
        <f>+'Sources&amp;Uses'!B35</f>
        <v>Land Only</v>
      </c>
      <c r="F147" s="177"/>
      <c r="G147" s="177"/>
      <c r="H147" s="182"/>
      <c r="I147" s="708">
        <f>+'Sources&amp;Uses'!F35</f>
        <v>0</v>
      </c>
      <c r="J147" s="1"/>
    </row>
    <row r="148" spans="2:10">
      <c r="B148" s="507"/>
      <c r="C148" s="507"/>
      <c r="D148" s="164"/>
      <c r="E148" s="174" t="str">
        <f>+'Sources&amp;Uses'!B36</f>
        <v>Buildings Only</v>
      </c>
      <c r="F148" s="177"/>
      <c r="G148" s="177"/>
      <c r="H148" s="182"/>
      <c r="I148" s="708">
        <f>+'Sources&amp;Uses'!F36</f>
        <v>0</v>
      </c>
      <c r="J148" s="1"/>
    </row>
    <row r="149" spans="2:10">
      <c r="B149" s="507"/>
      <c r="C149" s="507"/>
      <c r="D149" s="164"/>
      <c r="E149" s="174" t="str">
        <f>+'Sources&amp;Uses'!B37</f>
        <v>Other (please describe)</v>
      </c>
      <c r="F149" s="702"/>
      <c r="G149" s="702"/>
      <c r="H149" s="703"/>
      <c r="I149" s="708">
        <f>+'Sources&amp;Uses'!F37</f>
        <v>0</v>
      </c>
      <c r="J149" s="1"/>
    </row>
    <row r="150" spans="2:10">
      <c r="B150" s="507"/>
      <c r="C150" s="507"/>
      <c r="D150" s="164"/>
      <c r="E150" s="174" t="str">
        <f>+'Sources&amp;Uses'!B38</f>
        <v>Other Fund Uses NOT in Basis</v>
      </c>
      <c r="F150" s="702"/>
      <c r="G150" s="702"/>
      <c r="H150" s="703"/>
      <c r="I150" s="710"/>
      <c r="J150" s="1"/>
    </row>
    <row r="151" spans="2:10">
      <c r="B151" s="507"/>
      <c r="C151" s="507"/>
      <c r="D151" s="164"/>
      <c r="E151" s="174" t="str">
        <f>+'Sources&amp;Uses'!B39</f>
        <v>Demolition</v>
      </c>
      <c r="F151" s="704"/>
      <c r="G151" s="704"/>
      <c r="H151" s="705"/>
      <c r="I151" s="708">
        <f>+'Sources&amp;Uses'!F39</f>
        <v>0</v>
      </c>
      <c r="J151" s="1"/>
    </row>
    <row r="152" spans="2:10">
      <c r="B152" s="507"/>
      <c r="C152" s="507"/>
      <c r="D152" s="164"/>
      <c r="E152" s="174" t="str">
        <f>+'Sources&amp;Uses'!B40</f>
        <v>Other (please describe)</v>
      </c>
      <c r="F152" s="704"/>
      <c r="G152" s="704"/>
      <c r="H152" s="705"/>
      <c r="I152" s="708">
        <f>+'Sources&amp;Uses'!F40</f>
        <v>0</v>
      </c>
      <c r="J152" s="1"/>
    </row>
    <row r="153" spans="2:10">
      <c r="B153" s="507"/>
      <c r="C153" s="507"/>
      <c r="D153" s="164"/>
      <c r="E153" s="832" t="str">
        <f>+'Sources&amp;Uses'!B41</f>
        <v>Total Development Costs</v>
      </c>
      <c r="F153" s="702"/>
      <c r="G153" s="702"/>
      <c r="H153" s="703"/>
      <c r="I153" s="711">
        <f>SUM(I143:I152)</f>
        <v>0</v>
      </c>
      <c r="J153" s="1"/>
    </row>
    <row r="154" spans="2:10">
      <c r="B154" s="507"/>
      <c r="C154" s="507"/>
      <c r="D154" s="164"/>
      <c r="E154" s="174" t="str">
        <f>+'Sources&amp;Uses'!B42</f>
        <v>Temporary Contraction Loan Pay off</v>
      </c>
      <c r="F154" s="702"/>
      <c r="G154" s="702"/>
      <c r="H154" s="706"/>
      <c r="I154" s="708">
        <f>+'Sources&amp;Uses'!F42</f>
        <v>0</v>
      </c>
      <c r="J154" s="1"/>
    </row>
    <row r="155" spans="2:10">
      <c r="B155" s="507"/>
      <c r="C155" s="507"/>
      <c r="D155" s="164"/>
      <c r="E155" s="174" t="str">
        <f>+'Sources&amp;Uses'!B43</f>
        <v>Initial Operating  Reserve</v>
      </c>
      <c r="F155" s="702"/>
      <c r="G155" s="702"/>
      <c r="H155" s="703"/>
      <c r="I155" s="708">
        <f>+'Sources&amp;Uses'!F43</f>
        <v>0</v>
      </c>
      <c r="J155" s="1"/>
    </row>
    <row r="156" spans="2:10">
      <c r="B156" s="507"/>
      <c r="C156" s="507"/>
      <c r="D156" s="164"/>
      <c r="E156" s="174" t="str">
        <f>+'Sources&amp;Uses'!B44</f>
        <v>Initial Deposit to Replacement Reserve</v>
      </c>
      <c r="F156" s="702"/>
      <c r="G156" s="702"/>
      <c r="H156" s="703"/>
      <c r="I156" s="708">
        <f>+'Reserve 20 Yr Schedule'!E4</f>
        <v>0</v>
      </c>
      <c r="J156" s="1"/>
    </row>
    <row r="157" spans="2:10">
      <c r="B157" s="507"/>
      <c r="C157" s="507"/>
      <c r="D157" s="164"/>
      <c r="E157" s="173" t="s">
        <v>1238</v>
      </c>
      <c r="F157" s="20"/>
      <c r="G157" s="20"/>
      <c r="H157" s="20"/>
      <c r="I157" s="712">
        <f>+'Sources&amp;Uses'!F50</f>
        <v>0</v>
      </c>
      <c r="J157" s="1"/>
    </row>
    <row r="158" spans="2:10">
      <c r="B158" s="507"/>
      <c r="C158" s="507"/>
      <c r="D158" s="1"/>
      <c r="E158" s="1"/>
      <c r="F158" s="1"/>
      <c r="G158" s="1"/>
      <c r="H158" s="1"/>
      <c r="I158" s="1"/>
      <c r="J158" s="1"/>
    </row>
    <row r="159" spans="2:10" ht="18">
      <c r="B159" s="1483" t="s">
        <v>1439</v>
      </c>
      <c r="C159" s="1483"/>
      <c r="D159" s="1483"/>
      <c r="E159" s="1483"/>
      <c r="F159" s="1483"/>
      <c r="G159" s="1483"/>
      <c r="H159" s="1483"/>
      <c r="I159" s="1483"/>
      <c r="J159" s="1483"/>
    </row>
    <row r="160" spans="2:10">
      <c r="B160" s="507"/>
      <c r="C160" s="507"/>
      <c r="D160" s="507"/>
      <c r="E160" s="507"/>
      <c r="F160" s="507"/>
      <c r="G160" s="507"/>
      <c r="H160" s="507"/>
      <c r="I160" s="507"/>
      <c r="J160" s="507"/>
    </row>
    <row r="161" spans="2:10">
      <c r="B161" s="569" t="s">
        <v>1440</v>
      </c>
      <c r="C161" s="507" t="s">
        <v>1441</v>
      </c>
      <c r="D161" s="507"/>
      <c r="E161" s="598"/>
      <c r="F161" s="598"/>
      <c r="G161" s="598"/>
      <c r="H161" s="598"/>
      <c r="I161" s="598"/>
      <c r="J161" s="598"/>
    </row>
    <row r="162" spans="2:10">
      <c r="B162" s="507"/>
      <c r="C162" s="507" t="s">
        <v>1442</v>
      </c>
      <c r="D162" s="507"/>
      <c r="E162" s="599">
        <f>+syn_Ie</f>
        <v>0</v>
      </c>
      <c r="F162" s="597"/>
      <c r="G162" s="599"/>
      <c r="H162" s="597"/>
      <c r="I162" s="599"/>
      <c r="J162" s="598"/>
    </row>
    <row r="163" spans="2:10">
      <c r="B163" s="507"/>
      <c r="C163" s="569" t="s">
        <v>1443</v>
      </c>
      <c r="D163" s="507"/>
      <c r="E163" s="599">
        <f>SUM('Sources&amp;Uses'!F13:F15)</f>
        <v>0</v>
      </c>
      <c r="F163" s="597"/>
      <c r="G163" s="599"/>
      <c r="H163" s="597"/>
      <c r="I163" s="599"/>
      <c r="J163" s="598"/>
    </row>
    <row r="164" spans="2:10">
      <c r="B164" s="507"/>
      <c r="C164" s="507" t="s">
        <v>1444</v>
      </c>
      <c r="D164" s="507"/>
      <c r="E164" s="599">
        <v>0</v>
      </c>
      <c r="F164" s="597"/>
      <c r="G164" s="599"/>
      <c r="H164" s="597"/>
      <c r="I164" s="599"/>
      <c r="J164" s="598"/>
    </row>
    <row r="165" spans="2:10">
      <c r="B165" s="507"/>
      <c r="C165" s="580" t="s">
        <v>1445</v>
      </c>
      <c r="D165" s="507"/>
      <c r="E165" s="665">
        <f>SUM(E162:E164)</f>
        <v>0</v>
      </c>
      <c r="F165" s="597"/>
      <c r="G165" s="665">
        <f>SUM(G162:G164)</f>
        <v>0</v>
      </c>
      <c r="H165" s="597"/>
      <c r="I165" s="665">
        <f>SUM(I162:I164)</f>
        <v>0</v>
      </c>
      <c r="J165" s="598"/>
    </row>
    <row r="166" spans="2:10">
      <c r="B166" s="507"/>
      <c r="C166" s="507"/>
      <c r="D166" s="507"/>
      <c r="E166" s="597"/>
      <c r="F166" s="597"/>
      <c r="G166" s="597"/>
      <c r="H166" s="597"/>
      <c r="I166" s="597"/>
      <c r="J166" s="598"/>
    </row>
    <row r="167" spans="2:10">
      <c r="B167" s="569" t="s">
        <v>1446</v>
      </c>
      <c r="C167" s="507" t="s">
        <v>1447</v>
      </c>
      <c r="D167" s="507"/>
      <c r="E167" s="597"/>
      <c r="F167" s="597"/>
      <c r="G167" s="597"/>
      <c r="H167" s="597"/>
      <c r="I167" s="597"/>
      <c r="J167" s="598"/>
    </row>
    <row r="168" spans="2:10">
      <c r="B168" s="507"/>
      <c r="C168" s="1484" t="s">
        <v>1618</v>
      </c>
      <c r="D168" s="1484"/>
      <c r="E168" s="599">
        <f>+'Primary Input'!E21:G21</f>
        <v>0</v>
      </c>
      <c r="F168" s="597"/>
      <c r="G168" s="599"/>
      <c r="H168" s="597"/>
      <c r="I168" s="599"/>
      <c r="J168" s="598"/>
    </row>
    <row r="169" spans="2:10">
      <c r="B169" s="507"/>
      <c r="C169" s="1484" t="s">
        <v>80</v>
      </c>
      <c r="D169" s="1484"/>
      <c r="E169" s="599">
        <v>0</v>
      </c>
      <c r="F169" s="597"/>
      <c r="G169" s="599"/>
      <c r="H169" s="597"/>
      <c r="I169" s="599"/>
      <c r="J169" s="598"/>
    </row>
    <row r="170" spans="2:10">
      <c r="B170" s="507"/>
      <c r="C170" s="1484" t="s">
        <v>80</v>
      </c>
      <c r="D170" s="1484"/>
      <c r="E170" s="599">
        <v>0</v>
      </c>
      <c r="F170" s="597"/>
      <c r="G170" s="599"/>
      <c r="H170" s="597"/>
      <c r="I170" s="599"/>
      <c r="J170" s="598"/>
    </row>
    <row r="171" spans="2:10">
      <c r="B171" s="507"/>
      <c r="C171" s="580" t="s">
        <v>1445</v>
      </c>
      <c r="D171" s="507"/>
      <c r="E171" s="665">
        <f>SUM(E168:E170)</f>
        <v>0</v>
      </c>
      <c r="F171" s="597"/>
      <c r="G171" s="665">
        <f>SUM(G168:G170)</f>
        <v>0</v>
      </c>
      <c r="H171" s="597"/>
      <c r="I171" s="665">
        <f>SUM(I168:I170)</f>
        <v>0</v>
      </c>
      <c r="J171" s="598"/>
    </row>
    <row r="172" spans="2:10">
      <c r="B172" s="507"/>
      <c r="C172" s="507"/>
      <c r="D172" s="507"/>
      <c r="E172" s="597"/>
      <c r="F172" s="597"/>
      <c r="G172" s="597"/>
      <c r="H172" s="597"/>
      <c r="I172" s="597"/>
      <c r="J172" s="598"/>
    </row>
    <row r="173" spans="2:10" ht="25.5" customHeight="1">
      <c r="B173" s="569" t="s">
        <v>1448</v>
      </c>
      <c r="C173" s="1482" t="s">
        <v>1449</v>
      </c>
      <c r="D173" s="1482"/>
      <c r="E173" s="610">
        <f>+E165+E171</f>
        <v>0</v>
      </c>
      <c r="F173" s="597"/>
      <c r="G173" s="610">
        <f>+G165+G171</f>
        <v>0</v>
      </c>
      <c r="H173" s="597"/>
      <c r="I173" s="610">
        <f>+I165+I171</f>
        <v>0</v>
      </c>
      <c r="J173" s="598"/>
    </row>
    <row r="174" spans="2:10">
      <c r="B174" s="507"/>
      <c r="C174" s="507"/>
      <c r="D174" s="507"/>
      <c r="E174" s="598"/>
      <c r="F174" s="598"/>
      <c r="G174" s="598"/>
      <c r="H174" s="598"/>
      <c r="I174" s="598"/>
      <c r="J174" s="598"/>
    </row>
    <row r="175" spans="2:10">
      <c r="B175" s="507" t="s">
        <v>236</v>
      </c>
      <c r="C175" s="507"/>
      <c r="D175" s="507"/>
      <c r="E175" s="507"/>
      <c r="F175" s="507"/>
      <c r="G175" s="507"/>
      <c r="H175" s="507"/>
      <c r="I175" s="507"/>
      <c r="J175" s="507"/>
    </row>
    <row r="176" spans="2:10">
      <c r="B176" s="507" t="s">
        <v>237</v>
      </c>
      <c r="C176" s="507"/>
      <c r="D176" s="507"/>
      <c r="E176" s="507"/>
      <c r="F176" s="507"/>
      <c r="G176" s="507"/>
      <c r="H176" s="507"/>
      <c r="I176" s="507"/>
      <c r="J176" s="507"/>
    </row>
    <row r="177" spans="2:10">
      <c r="B177" s="507"/>
      <c r="C177" s="507"/>
      <c r="D177" s="507"/>
      <c r="E177" s="507"/>
      <c r="F177" s="507"/>
      <c r="G177" s="507"/>
      <c r="H177" s="507"/>
      <c r="I177" s="507"/>
      <c r="J177" s="507"/>
    </row>
    <row r="178" spans="2:10">
      <c r="B178" s="507" t="s">
        <v>238</v>
      </c>
      <c r="C178" s="507"/>
      <c r="D178" s="507"/>
      <c r="E178" s="507"/>
      <c r="F178" s="507"/>
      <c r="G178" s="507"/>
      <c r="H178" s="507"/>
      <c r="I178" s="507"/>
      <c r="J178" s="507"/>
    </row>
    <row r="179" spans="2:10">
      <c r="B179" s="507"/>
      <c r="C179" s="507"/>
      <c r="D179" s="507"/>
      <c r="E179" s="507"/>
      <c r="F179" s="507"/>
      <c r="G179" s="507"/>
      <c r="H179" s="507"/>
      <c r="I179" s="507"/>
      <c r="J179" s="507"/>
    </row>
    <row r="180" spans="2:10">
      <c r="B180" s="507"/>
      <c r="C180" s="507"/>
      <c r="D180" s="507"/>
      <c r="E180" s="507"/>
      <c r="F180" s="580" t="s">
        <v>1882</v>
      </c>
      <c r="G180" s="581"/>
      <c r="H180" s="581"/>
      <c r="I180" s="581"/>
      <c r="J180" s="507"/>
    </row>
    <row r="181" spans="2:10">
      <c r="B181" s="507"/>
      <c r="C181" s="507"/>
      <c r="D181" s="507"/>
      <c r="E181" s="507"/>
      <c r="F181" s="507"/>
      <c r="G181" s="580"/>
      <c r="H181" s="507"/>
      <c r="I181" s="196"/>
      <c r="J181" s="507"/>
    </row>
    <row r="182" spans="2:10">
      <c r="B182" s="507"/>
      <c r="C182" s="507"/>
      <c r="D182" s="507"/>
      <c r="E182" s="507"/>
      <c r="F182" s="580" t="s">
        <v>1507</v>
      </c>
      <c r="G182" s="581"/>
      <c r="H182" s="581"/>
      <c r="I182" s="581"/>
      <c r="J182" s="507"/>
    </row>
    <row r="183" spans="2:10">
      <c r="B183" s="507" t="s">
        <v>239</v>
      </c>
      <c r="C183" s="507"/>
      <c r="D183" s="507"/>
      <c r="E183" s="507"/>
      <c r="F183" s="507"/>
      <c r="G183" s="507"/>
      <c r="H183" s="507"/>
      <c r="I183" s="507"/>
      <c r="J183" s="507"/>
    </row>
    <row r="184" spans="2:10">
      <c r="B184" s="507"/>
      <c r="C184" s="581"/>
      <c r="D184" s="581"/>
      <c r="E184" s="507"/>
      <c r="F184" s="507"/>
      <c r="G184" s="507"/>
      <c r="H184" s="507"/>
      <c r="I184" s="507"/>
      <c r="J184" s="507"/>
    </row>
    <row r="185" spans="2:10">
      <c r="B185" s="507"/>
      <c r="C185" s="507"/>
      <c r="D185" s="507"/>
      <c r="E185" s="507"/>
      <c r="F185" s="507"/>
      <c r="G185" s="507"/>
      <c r="H185" s="507"/>
      <c r="I185" s="507"/>
      <c r="J185" s="507"/>
    </row>
    <row r="186" spans="2:10">
      <c r="B186" s="507"/>
      <c r="C186" s="581"/>
      <c r="D186" s="581"/>
      <c r="E186" s="507"/>
      <c r="F186" s="507"/>
      <c r="G186" s="507"/>
      <c r="H186" s="507"/>
      <c r="I186" s="507"/>
      <c r="J186" s="507"/>
    </row>
    <row r="187" spans="2:10">
      <c r="B187" s="507"/>
      <c r="C187" s="507"/>
      <c r="D187" s="507"/>
      <c r="E187" s="1485"/>
      <c r="F187" s="1485"/>
      <c r="G187" s="1485"/>
      <c r="H187" s="507"/>
      <c r="I187" s="507"/>
      <c r="J187" s="507"/>
    </row>
    <row r="188" spans="2:10">
      <c r="B188" s="507"/>
      <c r="C188" s="507"/>
      <c r="D188" s="507"/>
      <c r="E188" s="1486" t="s">
        <v>240</v>
      </c>
      <c r="F188" s="1486"/>
      <c r="G188" s="1486"/>
      <c r="H188" s="507"/>
      <c r="I188" s="507"/>
      <c r="J188" s="507"/>
    </row>
    <row r="189" spans="2:10">
      <c r="B189" s="507"/>
      <c r="C189" s="507"/>
      <c r="D189" s="507"/>
      <c r="E189" s="507"/>
      <c r="F189" s="507"/>
      <c r="G189" s="507"/>
      <c r="H189" s="507"/>
      <c r="I189" s="507"/>
      <c r="J189" s="507"/>
    </row>
  </sheetData>
  <sheetProtection password="CCBC" sheet="1" objects="1" scenarios="1"/>
  <mergeCells count="29">
    <mergeCell ref="D60:E60"/>
    <mergeCell ref="D61:E61"/>
    <mergeCell ref="B81:K81"/>
    <mergeCell ref="B141:K141"/>
    <mergeCell ref="C74:K74"/>
    <mergeCell ref="C75:K75"/>
    <mergeCell ref="C76:K76"/>
    <mergeCell ref="C77:K77"/>
    <mergeCell ref="E187:G187"/>
    <mergeCell ref="E188:G188"/>
    <mergeCell ref="B2:L2"/>
    <mergeCell ref="C9:D9"/>
    <mergeCell ref="C10:D10"/>
    <mergeCell ref="C11:D11"/>
    <mergeCell ref="B3:L3"/>
    <mergeCell ref="C12:D12"/>
    <mergeCell ref="C14:G14"/>
    <mergeCell ref="C15:G15"/>
    <mergeCell ref="D65:I65"/>
    <mergeCell ref="D67:I67"/>
    <mergeCell ref="D69:E69"/>
    <mergeCell ref="C73:K73"/>
    <mergeCell ref="D59:E59"/>
    <mergeCell ref="B43:K43"/>
    <mergeCell ref="C173:D173"/>
    <mergeCell ref="B159:J159"/>
    <mergeCell ref="C168:D168"/>
    <mergeCell ref="C169:D169"/>
    <mergeCell ref="C170:D170"/>
  </mergeCells>
  <phoneticPr fontId="51" type="noConversion"/>
  <dataValidations count="1">
    <dataValidation allowBlank="1" showInputMessage="1" showErrorMessage="1" promptTitle="Escrow Balances in Uses" prompt="Enter the escrow balances as they will appear immediately after closing. These balances will reflect any increases in escrow requirements." sqref="I153" xr:uid="{00000000-0002-0000-0B00-000000000000}"/>
  </dataValidations>
  <printOptions horizontalCentered="1"/>
  <pageMargins left="0.75" right="0.75" top="1" bottom="1" header="0.5" footer="0.5"/>
  <pageSetup scale="82" orientation="portrait" horizontalDpi="360" verticalDpi="360" r:id="rId1"/>
  <headerFooter alignWithMargins="0"/>
  <rowBreaks count="3" manualBreakCount="3">
    <brk id="53" max="11" man="1"/>
    <brk id="111" max="11" man="1"/>
    <brk id="173" max="11"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7">
    <pageSetUpPr fitToPage="1"/>
  </sheetPr>
  <dimension ref="A1:T50"/>
  <sheetViews>
    <sheetView zoomScaleNormal="100" workbookViewId="0">
      <selection activeCell="L5" sqref="L5"/>
    </sheetView>
  </sheetViews>
  <sheetFormatPr baseColWidth="10" defaultColWidth="9.1640625" defaultRowHeight="11"/>
  <cols>
    <col min="1" max="1" width="3.6640625" style="348" customWidth="1"/>
    <col min="2" max="2" width="6.6640625" style="348" customWidth="1"/>
    <col min="3" max="4" width="9.1640625" style="348"/>
    <col min="5" max="5" width="9.1640625" style="348" hidden="1" customWidth="1"/>
    <col min="6" max="7" width="9.1640625" style="348"/>
    <col min="8" max="8" width="2.5" style="348" customWidth="1"/>
    <col min="9" max="9" width="6.6640625" style="348" customWidth="1"/>
    <col min="10" max="10" width="0" style="348" hidden="1" customWidth="1"/>
    <col min="11" max="13" width="9.1640625" style="348"/>
    <col min="14" max="14" width="3.6640625" style="348" customWidth="1"/>
    <col min="15" max="19" width="9.1640625" style="348"/>
    <col min="20" max="20" width="13.33203125" style="348" bestFit="1" customWidth="1"/>
    <col min="21" max="16384" width="9.1640625" style="348"/>
  </cols>
  <sheetData>
    <row r="1" spans="1:20" ht="13">
      <c r="A1" s="381" t="s">
        <v>362</v>
      </c>
      <c r="L1" s="879">
        <f>+Name</f>
        <v>0</v>
      </c>
      <c r="M1" s="374" t="e">
        <f>Cover!$H$6</f>
        <v>#N/A</v>
      </c>
    </row>
    <row r="2" spans="1:20" ht="13">
      <c r="A2" s="420"/>
      <c r="B2" s="1500" t="s">
        <v>2019</v>
      </c>
      <c r="C2" s="1501"/>
      <c r="D2" s="1501"/>
      <c r="E2" s="1501"/>
      <c r="F2" s="1501"/>
      <c r="G2" s="1502"/>
      <c r="I2" s="421" t="s">
        <v>1613</v>
      </c>
      <c r="J2" s="422"/>
      <c r="K2" s="422"/>
      <c r="L2" s="423"/>
      <c r="M2" s="424"/>
    </row>
    <row r="3" spans="1:20">
      <c r="A3" s="425"/>
      <c r="B3" s="426" t="s">
        <v>1607</v>
      </c>
      <c r="C3" s="426" t="s">
        <v>1608</v>
      </c>
      <c r="D3" s="426" t="s">
        <v>1611</v>
      </c>
      <c r="E3" s="426" t="s">
        <v>1612</v>
      </c>
      <c r="F3" s="426" t="s">
        <v>1609</v>
      </c>
      <c r="G3" s="426" t="s">
        <v>1610</v>
      </c>
      <c r="I3" s="426" t="s">
        <v>1607</v>
      </c>
      <c r="J3" s="426" t="s">
        <v>1608</v>
      </c>
      <c r="K3" s="426" t="s">
        <v>1614</v>
      </c>
      <c r="L3" s="433">
        <v>0.11</v>
      </c>
      <c r="M3" s="426" t="s">
        <v>1844</v>
      </c>
    </row>
    <row r="4" spans="1:20">
      <c r="A4" s="420"/>
      <c r="B4" s="427">
        <v>1</v>
      </c>
      <c r="C4" s="428">
        <f>+'Loan Information'!E38</f>
        <v>0</v>
      </c>
      <c r="D4" s="428">
        <f>+C4*'Loan Information'!E$39</f>
        <v>0</v>
      </c>
      <c r="E4" s="428" t="e">
        <f>+'Pro Forma'!D$37</f>
        <v>#N/A</v>
      </c>
      <c r="F4" s="428" t="e">
        <f>MAX(E4,0)</f>
        <v>#N/A</v>
      </c>
      <c r="G4" s="428" t="e">
        <f>IF((C4+D4-E4)&lt;0,0,(C4+D4-F4))</f>
        <v>#N/A</v>
      </c>
      <c r="I4" s="427">
        <v>1</v>
      </c>
      <c r="J4" s="429" t="e">
        <f>+E4/3</f>
        <v>#N/A</v>
      </c>
      <c r="K4" s="428" t="e">
        <f>MAX(J4,0)</f>
        <v>#N/A</v>
      </c>
      <c r="L4" s="430">
        <f>1/(1+L$3)^(I4-1)</f>
        <v>1</v>
      </c>
      <c r="M4" s="428" t="e">
        <f>+K4*L4</f>
        <v>#N/A</v>
      </c>
    </row>
    <row r="5" spans="1:20">
      <c r="A5" s="420"/>
      <c r="B5" s="427">
        <v>2</v>
      </c>
      <c r="C5" s="428" t="e">
        <f>+G4</f>
        <v>#N/A</v>
      </c>
      <c r="D5" s="428">
        <f>AI5</f>
        <v>0</v>
      </c>
      <c r="E5" s="428" t="e">
        <f>+'Pro Forma'!F$37</f>
        <v>#N/A</v>
      </c>
      <c r="F5" s="428" t="e">
        <f t="shared" ref="F5:F43" si="0">MAX(E5,0)</f>
        <v>#N/A</v>
      </c>
      <c r="G5" s="428" t="e">
        <f t="shared" ref="G5:G43" si="1">IF((C5+D5-E5)&lt;0,0,(C5+D5-F5))</f>
        <v>#N/A</v>
      </c>
      <c r="I5" s="427">
        <f>+B5</f>
        <v>2</v>
      </c>
      <c r="J5" s="429" t="e">
        <f t="shared" ref="J5:J43" si="2">+E5/3</f>
        <v>#N/A</v>
      </c>
      <c r="K5" s="428" t="e">
        <f t="shared" ref="K5:K43" si="3">MAX(J5,0)</f>
        <v>#N/A</v>
      </c>
      <c r="L5" s="430">
        <f t="shared" ref="L5:L43" si="4">1/(1+L$3)^(I5-1)</f>
        <v>0.9009009009009008</v>
      </c>
      <c r="M5" s="428" t="e">
        <f t="shared" ref="M5:M43" si="5">+K5*L5</f>
        <v>#N/A</v>
      </c>
      <c r="O5" s="431" t="s">
        <v>1616</v>
      </c>
      <c r="P5" s="431">
        <f>IF('Primary Input'!E21=0,0,VLOOKUP(+'Loan Information'!$E$16,$B$4:$G$43,6))</f>
        <v>0</v>
      </c>
    </row>
    <row r="6" spans="1:20">
      <c r="A6" s="420"/>
      <c r="B6" s="427">
        <v>3</v>
      </c>
      <c r="C6" s="428" t="e">
        <f t="shared" ref="C6:C43" si="6">+G5</f>
        <v>#N/A</v>
      </c>
      <c r="D6" s="428">
        <f t="shared" ref="D6:D43" si="7">AI6</f>
        <v>0</v>
      </c>
      <c r="E6" s="428" t="e">
        <f>+'Pro Forma'!H$37</f>
        <v>#N/A</v>
      </c>
      <c r="F6" s="428" t="e">
        <f t="shared" si="0"/>
        <v>#N/A</v>
      </c>
      <c r="G6" s="428" t="e">
        <f t="shared" si="1"/>
        <v>#N/A</v>
      </c>
      <c r="I6" s="427">
        <f t="shared" ref="I6:I43" si="8">+B6</f>
        <v>3</v>
      </c>
      <c r="J6" s="429" t="e">
        <f t="shared" si="2"/>
        <v>#N/A</v>
      </c>
      <c r="K6" s="428" t="e">
        <f t="shared" si="3"/>
        <v>#N/A</v>
      </c>
      <c r="L6" s="430">
        <f t="shared" si="4"/>
        <v>0.8116224332440547</v>
      </c>
      <c r="M6" s="428" t="e">
        <f t="shared" si="5"/>
        <v>#N/A</v>
      </c>
    </row>
    <row r="7" spans="1:20">
      <c r="A7" s="420"/>
      <c r="B7" s="427">
        <v>4</v>
      </c>
      <c r="C7" s="428" t="e">
        <f t="shared" si="6"/>
        <v>#N/A</v>
      </c>
      <c r="D7" s="428">
        <f t="shared" si="7"/>
        <v>0</v>
      </c>
      <c r="E7" s="428" t="e">
        <f>+'Pro Forma'!J$37</f>
        <v>#N/A</v>
      </c>
      <c r="F7" s="428" t="e">
        <f t="shared" si="0"/>
        <v>#N/A</v>
      </c>
      <c r="G7" s="428" t="e">
        <f t="shared" si="1"/>
        <v>#N/A</v>
      </c>
      <c r="I7" s="427">
        <f t="shared" si="8"/>
        <v>4</v>
      </c>
      <c r="J7" s="429" t="e">
        <f t="shared" si="2"/>
        <v>#N/A</v>
      </c>
      <c r="K7" s="428" t="e">
        <f t="shared" si="3"/>
        <v>#N/A</v>
      </c>
      <c r="L7" s="430">
        <f t="shared" si="4"/>
        <v>0.73119138130095018</v>
      </c>
      <c r="M7" s="428" t="e">
        <f t="shared" si="5"/>
        <v>#N/A</v>
      </c>
    </row>
    <row r="8" spans="1:20">
      <c r="A8" s="420"/>
      <c r="B8" s="427">
        <v>5</v>
      </c>
      <c r="C8" s="428" t="e">
        <f t="shared" si="6"/>
        <v>#N/A</v>
      </c>
      <c r="D8" s="428">
        <f t="shared" si="7"/>
        <v>0</v>
      </c>
      <c r="E8" s="428" t="e">
        <f>+'Pro Forma'!L$37</f>
        <v>#N/A</v>
      </c>
      <c r="F8" s="428" t="e">
        <f t="shared" si="0"/>
        <v>#N/A</v>
      </c>
      <c r="G8" s="428" t="e">
        <f t="shared" si="1"/>
        <v>#N/A</v>
      </c>
      <c r="I8" s="427">
        <f t="shared" si="8"/>
        <v>5</v>
      </c>
      <c r="J8" s="429" t="e">
        <f t="shared" si="2"/>
        <v>#N/A</v>
      </c>
      <c r="K8" s="428" t="e">
        <f t="shared" si="3"/>
        <v>#N/A</v>
      </c>
      <c r="L8" s="430">
        <f t="shared" si="4"/>
        <v>0.65873097414500015</v>
      </c>
      <c r="M8" s="428" t="e">
        <f t="shared" si="5"/>
        <v>#N/A</v>
      </c>
    </row>
    <row r="9" spans="1:20">
      <c r="A9" s="420"/>
      <c r="B9" s="427">
        <v>6</v>
      </c>
      <c r="C9" s="428" t="e">
        <f t="shared" si="6"/>
        <v>#N/A</v>
      </c>
      <c r="D9" s="428">
        <f t="shared" si="7"/>
        <v>0</v>
      </c>
      <c r="E9" s="428" t="e">
        <f>+'Pro Forma'!N$37</f>
        <v>#N/A</v>
      </c>
      <c r="F9" s="428" t="e">
        <f t="shared" si="0"/>
        <v>#N/A</v>
      </c>
      <c r="G9" s="428" t="e">
        <f t="shared" si="1"/>
        <v>#N/A</v>
      </c>
      <c r="I9" s="427">
        <f t="shared" si="8"/>
        <v>6</v>
      </c>
      <c r="J9" s="429" t="e">
        <f t="shared" si="2"/>
        <v>#N/A</v>
      </c>
      <c r="K9" s="428" t="e">
        <f t="shared" si="3"/>
        <v>#N/A</v>
      </c>
      <c r="L9" s="430">
        <f t="shared" si="4"/>
        <v>0.5934513280585586</v>
      </c>
      <c r="M9" s="428" t="e">
        <f t="shared" si="5"/>
        <v>#N/A</v>
      </c>
    </row>
    <row r="10" spans="1:20">
      <c r="A10" s="420"/>
      <c r="B10" s="427">
        <v>7</v>
      </c>
      <c r="C10" s="428" t="e">
        <f t="shared" si="6"/>
        <v>#N/A</v>
      </c>
      <c r="D10" s="428">
        <f t="shared" si="7"/>
        <v>0</v>
      </c>
      <c r="E10" s="428" t="e">
        <f>+'Pro Forma'!P$37</f>
        <v>#N/A</v>
      </c>
      <c r="F10" s="428" t="e">
        <f t="shared" si="0"/>
        <v>#N/A</v>
      </c>
      <c r="G10" s="428" t="e">
        <f t="shared" si="1"/>
        <v>#N/A</v>
      </c>
      <c r="I10" s="427">
        <f t="shared" si="8"/>
        <v>7</v>
      </c>
      <c r="J10" s="429" t="e">
        <f t="shared" si="2"/>
        <v>#N/A</v>
      </c>
      <c r="K10" s="428" t="e">
        <f t="shared" si="3"/>
        <v>#N/A</v>
      </c>
      <c r="L10" s="430">
        <f t="shared" si="4"/>
        <v>0.53464083608879154</v>
      </c>
      <c r="M10" s="428" t="e">
        <f t="shared" si="5"/>
        <v>#N/A</v>
      </c>
    </row>
    <row r="11" spans="1:20">
      <c r="A11" s="420"/>
      <c r="B11" s="427">
        <v>8</v>
      </c>
      <c r="C11" s="428" t="e">
        <f t="shared" si="6"/>
        <v>#N/A</v>
      </c>
      <c r="D11" s="428">
        <f t="shared" si="7"/>
        <v>0</v>
      </c>
      <c r="E11" s="428" t="e">
        <f>+'Pro Forma'!R$37</f>
        <v>#N/A</v>
      </c>
      <c r="F11" s="428" t="e">
        <f t="shared" si="0"/>
        <v>#N/A</v>
      </c>
      <c r="G11" s="428" t="e">
        <f t="shared" si="1"/>
        <v>#N/A</v>
      </c>
      <c r="I11" s="427">
        <f t="shared" si="8"/>
        <v>8</v>
      </c>
      <c r="J11" s="429" t="e">
        <f t="shared" si="2"/>
        <v>#N/A</v>
      </c>
      <c r="K11" s="428" t="e">
        <f t="shared" si="3"/>
        <v>#N/A</v>
      </c>
      <c r="L11" s="430">
        <f t="shared" si="4"/>
        <v>0.48165841089080319</v>
      </c>
      <c r="M11" s="428" t="e">
        <f t="shared" si="5"/>
        <v>#N/A</v>
      </c>
    </row>
    <row r="12" spans="1:20">
      <c r="A12" s="420"/>
      <c r="B12" s="427">
        <v>9</v>
      </c>
      <c r="C12" s="428" t="e">
        <f t="shared" si="6"/>
        <v>#N/A</v>
      </c>
      <c r="D12" s="428">
        <f t="shared" si="7"/>
        <v>0</v>
      </c>
      <c r="E12" s="428" t="e">
        <f>+'Pro Forma'!T$37</f>
        <v>#N/A</v>
      </c>
      <c r="F12" s="428" t="e">
        <f t="shared" si="0"/>
        <v>#N/A</v>
      </c>
      <c r="G12" s="428" t="e">
        <f t="shared" si="1"/>
        <v>#N/A</v>
      </c>
      <c r="I12" s="427">
        <f t="shared" si="8"/>
        <v>9</v>
      </c>
      <c r="J12" s="429" t="e">
        <f t="shared" si="2"/>
        <v>#N/A</v>
      </c>
      <c r="K12" s="428" t="e">
        <f t="shared" si="3"/>
        <v>#N/A</v>
      </c>
      <c r="L12" s="430">
        <f t="shared" si="4"/>
        <v>0.43392649629802077</v>
      </c>
      <c r="M12" s="428" t="e">
        <f t="shared" si="5"/>
        <v>#N/A</v>
      </c>
    </row>
    <row r="13" spans="1:20">
      <c r="A13" s="420"/>
      <c r="B13" s="427">
        <v>10</v>
      </c>
      <c r="C13" s="428" t="e">
        <f t="shared" si="6"/>
        <v>#N/A</v>
      </c>
      <c r="D13" s="428">
        <f t="shared" si="7"/>
        <v>0</v>
      </c>
      <c r="E13" s="428" t="e">
        <f>+'Pro Forma'!V$37</f>
        <v>#N/A</v>
      </c>
      <c r="F13" s="428" t="e">
        <f t="shared" si="0"/>
        <v>#N/A</v>
      </c>
      <c r="G13" s="428" t="e">
        <f t="shared" si="1"/>
        <v>#N/A</v>
      </c>
      <c r="I13" s="427">
        <f t="shared" si="8"/>
        <v>10</v>
      </c>
      <c r="J13" s="429" t="e">
        <f t="shared" si="2"/>
        <v>#N/A</v>
      </c>
      <c r="K13" s="428" t="e">
        <f t="shared" si="3"/>
        <v>#N/A</v>
      </c>
      <c r="L13" s="430">
        <f t="shared" si="4"/>
        <v>0.39092477143965831</v>
      </c>
      <c r="M13" s="428" t="e">
        <f t="shared" si="5"/>
        <v>#N/A</v>
      </c>
    </row>
    <row r="14" spans="1:20">
      <c r="A14" s="420"/>
      <c r="B14" s="427">
        <v>11</v>
      </c>
      <c r="C14" s="428" t="e">
        <f t="shared" si="6"/>
        <v>#N/A</v>
      </c>
      <c r="D14" s="428">
        <f t="shared" si="7"/>
        <v>0</v>
      </c>
      <c r="E14" s="428" t="e">
        <f>+'Pro Forma'!X$37</f>
        <v>#N/A</v>
      </c>
      <c r="F14" s="428" t="e">
        <f t="shared" si="0"/>
        <v>#N/A</v>
      </c>
      <c r="G14" s="428" t="e">
        <f t="shared" si="1"/>
        <v>#N/A</v>
      </c>
      <c r="I14" s="427">
        <f t="shared" si="8"/>
        <v>11</v>
      </c>
      <c r="J14" s="429" t="e">
        <f t="shared" si="2"/>
        <v>#N/A</v>
      </c>
      <c r="K14" s="428" t="e">
        <f t="shared" si="3"/>
        <v>#N/A</v>
      </c>
      <c r="L14" s="430">
        <f t="shared" si="4"/>
        <v>0.3521844787744669</v>
      </c>
      <c r="M14" s="428" t="e">
        <f t="shared" si="5"/>
        <v>#N/A</v>
      </c>
      <c r="T14" s="431"/>
    </row>
    <row r="15" spans="1:20">
      <c r="A15" s="420"/>
      <c r="B15" s="427">
        <v>12</v>
      </c>
      <c r="C15" s="428" t="e">
        <f t="shared" si="6"/>
        <v>#N/A</v>
      </c>
      <c r="D15" s="428">
        <f t="shared" si="7"/>
        <v>0</v>
      </c>
      <c r="E15" s="428" t="e">
        <f>+'Pro Forma'!Z$37</f>
        <v>#N/A</v>
      </c>
      <c r="F15" s="428" t="e">
        <f t="shared" si="0"/>
        <v>#N/A</v>
      </c>
      <c r="G15" s="428" t="e">
        <f t="shared" si="1"/>
        <v>#N/A</v>
      </c>
      <c r="I15" s="427">
        <f t="shared" si="8"/>
        <v>12</v>
      </c>
      <c r="J15" s="429" t="e">
        <f t="shared" si="2"/>
        <v>#N/A</v>
      </c>
      <c r="K15" s="428" t="e">
        <f t="shared" si="3"/>
        <v>#N/A</v>
      </c>
      <c r="L15" s="430">
        <f t="shared" si="4"/>
        <v>0.31728331421123146</v>
      </c>
      <c r="M15" s="428" t="e">
        <f t="shared" si="5"/>
        <v>#N/A</v>
      </c>
      <c r="T15" s="431"/>
    </row>
    <row r="16" spans="1:20">
      <c r="A16" s="420"/>
      <c r="B16" s="427">
        <v>13</v>
      </c>
      <c r="C16" s="428" t="e">
        <f t="shared" si="6"/>
        <v>#N/A</v>
      </c>
      <c r="D16" s="428">
        <f t="shared" si="7"/>
        <v>0</v>
      </c>
      <c r="E16" s="428" t="e">
        <f>+'Pro Forma'!AB$37</f>
        <v>#N/A</v>
      </c>
      <c r="F16" s="428" t="e">
        <f t="shared" si="0"/>
        <v>#N/A</v>
      </c>
      <c r="G16" s="428" t="e">
        <f t="shared" si="1"/>
        <v>#N/A</v>
      </c>
      <c r="I16" s="427">
        <f t="shared" si="8"/>
        <v>13</v>
      </c>
      <c r="J16" s="429" t="e">
        <f t="shared" si="2"/>
        <v>#N/A</v>
      </c>
      <c r="K16" s="428" t="e">
        <f t="shared" si="3"/>
        <v>#N/A</v>
      </c>
      <c r="L16" s="430">
        <f t="shared" si="4"/>
        <v>0.28584082361372198</v>
      </c>
      <c r="M16" s="428" t="e">
        <f t="shared" si="5"/>
        <v>#N/A</v>
      </c>
      <c r="T16" s="432" t="e">
        <f>(+'Sources&amp;Uses'!F50*'Pro Forma'!AP26)</f>
        <v>#N/A</v>
      </c>
    </row>
    <row r="17" spans="1:20">
      <c r="A17" s="420"/>
      <c r="B17" s="427">
        <v>14</v>
      </c>
      <c r="C17" s="428" t="e">
        <f t="shared" si="6"/>
        <v>#N/A</v>
      </c>
      <c r="D17" s="428">
        <f t="shared" si="7"/>
        <v>0</v>
      </c>
      <c r="E17" s="428" t="e">
        <f>+'Pro Forma'!AD$37</f>
        <v>#N/A</v>
      </c>
      <c r="F17" s="428" t="e">
        <f t="shared" si="0"/>
        <v>#N/A</v>
      </c>
      <c r="G17" s="428" t="e">
        <f t="shared" si="1"/>
        <v>#N/A</v>
      </c>
      <c r="I17" s="427">
        <f t="shared" si="8"/>
        <v>14</v>
      </c>
      <c r="J17" s="429" t="e">
        <f t="shared" si="2"/>
        <v>#N/A</v>
      </c>
      <c r="K17" s="428" t="e">
        <f t="shared" si="3"/>
        <v>#N/A</v>
      </c>
      <c r="L17" s="430">
        <f t="shared" si="4"/>
        <v>0.25751425550785767</v>
      </c>
      <c r="M17" s="428" t="e">
        <f t="shared" si="5"/>
        <v>#N/A</v>
      </c>
      <c r="T17" s="432" t="e">
        <f>+T16</f>
        <v>#N/A</v>
      </c>
    </row>
    <row r="18" spans="1:20">
      <c r="A18" s="420"/>
      <c r="B18" s="427">
        <v>15</v>
      </c>
      <c r="C18" s="428" t="e">
        <f t="shared" si="6"/>
        <v>#N/A</v>
      </c>
      <c r="D18" s="428">
        <f t="shared" si="7"/>
        <v>0</v>
      </c>
      <c r="E18" s="428" t="e">
        <f>+'Pro Forma'!AF$37</f>
        <v>#N/A</v>
      </c>
      <c r="F18" s="428" t="e">
        <f t="shared" si="0"/>
        <v>#N/A</v>
      </c>
      <c r="G18" s="428" t="e">
        <f t="shared" si="1"/>
        <v>#N/A</v>
      </c>
      <c r="I18" s="427">
        <f t="shared" si="8"/>
        <v>15</v>
      </c>
      <c r="J18" s="429" t="e">
        <f t="shared" si="2"/>
        <v>#N/A</v>
      </c>
      <c r="K18" s="428" t="e">
        <f t="shared" si="3"/>
        <v>#N/A</v>
      </c>
      <c r="L18" s="430">
        <f t="shared" si="4"/>
        <v>0.23199482478185374</v>
      </c>
      <c r="M18" s="428" t="e">
        <f t="shared" si="5"/>
        <v>#N/A</v>
      </c>
      <c r="T18" s="432" t="e">
        <f>ROUNDDOWN(T17,-6)</f>
        <v>#N/A</v>
      </c>
    </row>
    <row r="19" spans="1:20">
      <c r="A19" s="420"/>
      <c r="B19" s="427">
        <v>16</v>
      </c>
      <c r="C19" s="428" t="e">
        <f t="shared" si="6"/>
        <v>#N/A</v>
      </c>
      <c r="D19" s="428">
        <f t="shared" si="7"/>
        <v>0</v>
      </c>
      <c r="E19" s="428" t="e">
        <f>+'Pro Forma'!AH$37</f>
        <v>#N/A</v>
      </c>
      <c r="F19" s="428" t="e">
        <f t="shared" si="0"/>
        <v>#N/A</v>
      </c>
      <c r="G19" s="428" t="e">
        <f t="shared" si="1"/>
        <v>#N/A</v>
      </c>
      <c r="I19" s="427">
        <f t="shared" si="8"/>
        <v>16</v>
      </c>
      <c r="J19" s="429" t="e">
        <f t="shared" si="2"/>
        <v>#N/A</v>
      </c>
      <c r="K19" s="428" t="e">
        <f t="shared" si="3"/>
        <v>#N/A</v>
      </c>
      <c r="L19" s="430">
        <f t="shared" si="4"/>
        <v>0.2090043466503187</v>
      </c>
      <c r="M19" s="428" t="e">
        <f t="shared" si="5"/>
        <v>#N/A</v>
      </c>
      <c r="T19" s="432" t="e">
        <f>+T17-T18</f>
        <v>#N/A</v>
      </c>
    </row>
    <row r="20" spans="1:20">
      <c r="A20" s="420"/>
      <c r="B20" s="427">
        <v>17</v>
      </c>
      <c r="C20" s="428" t="e">
        <f t="shared" si="6"/>
        <v>#N/A</v>
      </c>
      <c r="D20" s="428">
        <f t="shared" si="7"/>
        <v>0</v>
      </c>
      <c r="E20" s="428" t="e">
        <f>+'Pro Forma'!AJ$37</f>
        <v>#N/A</v>
      </c>
      <c r="F20" s="428" t="e">
        <f t="shared" si="0"/>
        <v>#N/A</v>
      </c>
      <c r="G20" s="428" t="e">
        <f t="shared" si="1"/>
        <v>#N/A</v>
      </c>
      <c r="I20" s="427">
        <f t="shared" si="8"/>
        <v>17</v>
      </c>
      <c r="J20" s="429" t="e">
        <f t="shared" si="2"/>
        <v>#N/A</v>
      </c>
      <c r="K20" s="428" t="e">
        <f t="shared" si="3"/>
        <v>#N/A</v>
      </c>
      <c r="L20" s="430">
        <f t="shared" si="4"/>
        <v>0.18829220418947626</v>
      </c>
      <c r="M20" s="428" t="e">
        <f t="shared" si="5"/>
        <v>#N/A</v>
      </c>
      <c r="T20" s="431">
        <v>397569</v>
      </c>
    </row>
    <row r="21" spans="1:20">
      <c r="A21" s="420"/>
      <c r="B21" s="427">
        <v>18</v>
      </c>
      <c r="C21" s="428" t="e">
        <f t="shared" si="6"/>
        <v>#N/A</v>
      </c>
      <c r="D21" s="428">
        <f t="shared" si="7"/>
        <v>0</v>
      </c>
      <c r="E21" s="428" t="e">
        <f>+'Pro Forma'!AL$37</f>
        <v>#N/A</v>
      </c>
      <c r="F21" s="428" t="e">
        <f t="shared" si="0"/>
        <v>#N/A</v>
      </c>
      <c r="G21" s="428" t="e">
        <f t="shared" si="1"/>
        <v>#N/A</v>
      </c>
      <c r="I21" s="427">
        <f t="shared" si="8"/>
        <v>18</v>
      </c>
      <c r="J21" s="429" t="e">
        <f t="shared" si="2"/>
        <v>#N/A</v>
      </c>
      <c r="K21" s="428" t="e">
        <f t="shared" si="3"/>
        <v>#N/A</v>
      </c>
      <c r="L21" s="430">
        <f t="shared" si="4"/>
        <v>0.16963261638691554</v>
      </c>
      <c r="M21" s="428" t="e">
        <f t="shared" si="5"/>
        <v>#N/A</v>
      </c>
      <c r="T21" s="432" t="e">
        <f>T19+T20</f>
        <v>#N/A</v>
      </c>
    </row>
    <row r="22" spans="1:20">
      <c r="A22" s="420"/>
      <c r="B22" s="427">
        <v>19</v>
      </c>
      <c r="C22" s="428" t="e">
        <f t="shared" si="6"/>
        <v>#N/A</v>
      </c>
      <c r="D22" s="428">
        <f t="shared" si="7"/>
        <v>0</v>
      </c>
      <c r="E22" s="428" t="e">
        <f>+'Pro Forma'!AN$37</f>
        <v>#N/A</v>
      </c>
      <c r="F22" s="428" t="e">
        <f t="shared" si="0"/>
        <v>#N/A</v>
      </c>
      <c r="G22" s="428" t="e">
        <f t="shared" si="1"/>
        <v>#N/A</v>
      </c>
      <c r="I22" s="427">
        <f t="shared" si="8"/>
        <v>19</v>
      </c>
      <c r="J22" s="429" t="e">
        <f t="shared" si="2"/>
        <v>#N/A</v>
      </c>
      <c r="K22" s="428" t="e">
        <f t="shared" si="3"/>
        <v>#N/A</v>
      </c>
      <c r="L22" s="430">
        <f t="shared" si="4"/>
        <v>0.15282217692514913</v>
      </c>
      <c r="M22" s="428" t="e">
        <f t="shared" si="5"/>
        <v>#N/A</v>
      </c>
      <c r="T22" s="431"/>
    </row>
    <row r="23" spans="1:20">
      <c r="A23" s="420"/>
      <c r="B23" s="427">
        <v>20</v>
      </c>
      <c r="C23" s="428" t="e">
        <f t="shared" si="6"/>
        <v>#N/A</v>
      </c>
      <c r="D23" s="428">
        <f t="shared" si="7"/>
        <v>0</v>
      </c>
      <c r="E23" s="428" t="e">
        <f>+'Pro Forma'!AP$37</f>
        <v>#N/A</v>
      </c>
      <c r="F23" s="428" t="e">
        <f t="shared" si="0"/>
        <v>#N/A</v>
      </c>
      <c r="G23" s="428" t="e">
        <f t="shared" si="1"/>
        <v>#N/A</v>
      </c>
      <c r="I23" s="427">
        <f t="shared" si="8"/>
        <v>20</v>
      </c>
      <c r="J23" s="429" t="e">
        <f t="shared" si="2"/>
        <v>#N/A</v>
      </c>
      <c r="K23" s="428" t="e">
        <f t="shared" si="3"/>
        <v>#N/A</v>
      </c>
      <c r="L23" s="430">
        <f t="shared" si="4"/>
        <v>0.13767763686950371</v>
      </c>
      <c r="M23" s="428" t="e">
        <f t="shared" si="5"/>
        <v>#N/A</v>
      </c>
      <c r="T23" s="1117"/>
    </row>
    <row r="24" spans="1:20">
      <c r="A24" s="420"/>
      <c r="B24" s="427">
        <v>21</v>
      </c>
      <c r="C24" s="428" t="e">
        <f t="shared" si="6"/>
        <v>#N/A</v>
      </c>
      <c r="D24" s="428">
        <f t="shared" si="7"/>
        <v>0</v>
      </c>
      <c r="E24" s="428" t="e">
        <f>+E23</f>
        <v>#N/A</v>
      </c>
      <c r="F24" s="428" t="e">
        <f t="shared" si="0"/>
        <v>#N/A</v>
      </c>
      <c r="G24" s="428" t="e">
        <f t="shared" si="1"/>
        <v>#N/A</v>
      </c>
      <c r="I24" s="427">
        <f t="shared" si="8"/>
        <v>21</v>
      </c>
      <c r="J24" s="429" t="e">
        <f t="shared" si="2"/>
        <v>#N/A</v>
      </c>
      <c r="K24" s="428" t="e">
        <f t="shared" si="3"/>
        <v>#N/A</v>
      </c>
      <c r="L24" s="430">
        <f t="shared" si="4"/>
        <v>0.12403390708964297</v>
      </c>
      <c r="M24" s="428" t="e">
        <f t="shared" si="5"/>
        <v>#N/A</v>
      </c>
      <c r="T24" s="1117"/>
    </row>
    <row r="25" spans="1:20">
      <c r="A25" s="420"/>
      <c r="B25" s="427">
        <v>22</v>
      </c>
      <c r="C25" s="428" t="e">
        <f t="shared" si="6"/>
        <v>#N/A</v>
      </c>
      <c r="D25" s="428">
        <f t="shared" si="7"/>
        <v>0</v>
      </c>
      <c r="E25" s="428" t="e">
        <f t="shared" ref="E25:E43" si="9">+E24</f>
        <v>#N/A</v>
      </c>
      <c r="F25" s="428" t="e">
        <f t="shared" si="0"/>
        <v>#N/A</v>
      </c>
      <c r="G25" s="428" t="e">
        <f t="shared" si="1"/>
        <v>#N/A</v>
      </c>
      <c r="I25" s="427">
        <f t="shared" si="8"/>
        <v>22</v>
      </c>
      <c r="J25" s="429" t="e">
        <f t="shared" si="2"/>
        <v>#N/A</v>
      </c>
      <c r="K25" s="428" t="e">
        <f t="shared" si="3"/>
        <v>#N/A</v>
      </c>
      <c r="L25" s="430">
        <f t="shared" si="4"/>
        <v>0.11174225863931797</v>
      </c>
      <c r="M25" s="428" t="e">
        <f t="shared" si="5"/>
        <v>#N/A</v>
      </c>
      <c r="T25" s="1117"/>
    </row>
    <row r="26" spans="1:20">
      <c r="A26" s="420"/>
      <c r="B26" s="427">
        <v>23</v>
      </c>
      <c r="C26" s="428" t="e">
        <f t="shared" si="6"/>
        <v>#N/A</v>
      </c>
      <c r="D26" s="428">
        <f t="shared" si="7"/>
        <v>0</v>
      </c>
      <c r="E26" s="428" t="e">
        <f t="shared" si="9"/>
        <v>#N/A</v>
      </c>
      <c r="F26" s="428" t="e">
        <f t="shared" si="0"/>
        <v>#N/A</v>
      </c>
      <c r="G26" s="428" t="e">
        <f t="shared" si="1"/>
        <v>#N/A</v>
      </c>
      <c r="I26" s="427">
        <f t="shared" si="8"/>
        <v>23</v>
      </c>
      <c r="J26" s="429" t="e">
        <f t="shared" si="2"/>
        <v>#N/A</v>
      </c>
      <c r="K26" s="428" t="e">
        <f t="shared" si="3"/>
        <v>#N/A</v>
      </c>
      <c r="L26" s="430">
        <f t="shared" si="4"/>
        <v>0.10066870147686303</v>
      </c>
      <c r="M26" s="428" t="e">
        <f t="shared" si="5"/>
        <v>#N/A</v>
      </c>
      <c r="T26" s="1117"/>
    </row>
    <row r="27" spans="1:20">
      <c r="A27" s="420"/>
      <c r="B27" s="427">
        <v>24</v>
      </c>
      <c r="C27" s="428" t="e">
        <f t="shared" si="6"/>
        <v>#N/A</v>
      </c>
      <c r="D27" s="428">
        <f t="shared" si="7"/>
        <v>0</v>
      </c>
      <c r="E27" s="428" t="e">
        <f t="shared" si="9"/>
        <v>#N/A</v>
      </c>
      <c r="F27" s="428" t="e">
        <f t="shared" si="0"/>
        <v>#N/A</v>
      </c>
      <c r="G27" s="428" t="e">
        <f t="shared" si="1"/>
        <v>#N/A</v>
      </c>
      <c r="I27" s="427">
        <f t="shared" si="8"/>
        <v>24</v>
      </c>
      <c r="J27" s="429" t="e">
        <f t="shared" si="2"/>
        <v>#N/A</v>
      </c>
      <c r="K27" s="428" t="e">
        <f t="shared" si="3"/>
        <v>#N/A</v>
      </c>
      <c r="L27" s="430">
        <f t="shared" si="4"/>
        <v>9.0692523853029769E-2</v>
      </c>
      <c r="M27" s="428" t="e">
        <f t="shared" si="5"/>
        <v>#N/A</v>
      </c>
    </row>
    <row r="28" spans="1:20">
      <c r="A28" s="420"/>
      <c r="B28" s="427">
        <v>25</v>
      </c>
      <c r="C28" s="428" t="e">
        <f t="shared" si="6"/>
        <v>#N/A</v>
      </c>
      <c r="D28" s="428">
        <f t="shared" si="7"/>
        <v>0</v>
      </c>
      <c r="E28" s="428" t="e">
        <f t="shared" si="9"/>
        <v>#N/A</v>
      </c>
      <c r="F28" s="428" t="e">
        <f t="shared" si="0"/>
        <v>#N/A</v>
      </c>
      <c r="G28" s="428" t="e">
        <f t="shared" si="1"/>
        <v>#N/A</v>
      </c>
      <c r="I28" s="427">
        <f t="shared" si="8"/>
        <v>25</v>
      </c>
      <c r="J28" s="429" t="e">
        <f t="shared" si="2"/>
        <v>#N/A</v>
      </c>
      <c r="K28" s="428" t="e">
        <f t="shared" si="3"/>
        <v>#N/A</v>
      </c>
      <c r="L28" s="430">
        <f t="shared" si="4"/>
        <v>8.1704976444170935E-2</v>
      </c>
      <c r="M28" s="428" t="e">
        <f t="shared" si="5"/>
        <v>#N/A</v>
      </c>
    </row>
    <row r="29" spans="1:20">
      <c r="A29" s="420"/>
      <c r="B29" s="427">
        <v>26</v>
      </c>
      <c r="C29" s="428" t="e">
        <f t="shared" si="6"/>
        <v>#N/A</v>
      </c>
      <c r="D29" s="428">
        <f t="shared" si="7"/>
        <v>0</v>
      </c>
      <c r="E29" s="428" t="e">
        <f t="shared" si="9"/>
        <v>#N/A</v>
      </c>
      <c r="F29" s="428" t="e">
        <f t="shared" si="0"/>
        <v>#N/A</v>
      </c>
      <c r="G29" s="428" t="e">
        <f t="shared" si="1"/>
        <v>#N/A</v>
      </c>
      <c r="I29" s="427">
        <f t="shared" si="8"/>
        <v>26</v>
      </c>
      <c r="J29" s="429" t="e">
        <f t="shared" si="2"/>
        <v>#N/A</v>
      </c>
      <c r="K29" s="428" t="e">
        <f t="shared" si="3"/>
        <v>#N/A</v>
      </c>
      <c r="L29" s="430">
        <f t="shared" si="4"/>
        <v>7.3608086886640473E-2</v>
      </c>
      <c r="M29" s="428" t="e">
        <f t="shared" si="5"/>
        <v>#N/A</v>
      </c>
    </row>
    <row r="30" spans="1:20">
      <c r="A30" s="420"/>
      <c r="B30" s="427">
        <v>27</v>
      </c>
      <c r="C30" s="428" t="e">
        <f t="shared" si="6"/>
        <v>#N/A</v>
      </c>
      <c r="D30" s="428">
        <f t="shared" si="7"/>
        <v>0</v>
      </c>
      <c r="E30" s="428" t="e">
        <f t="shared" si="9"/>
        <v>#N/A</v>
      </c>
      <c r="F30" s="428" t="e">
        <f t="shared" si="0"/>
        <v>#N/A</v>
      </c>
      <c r="G30" s="428" t="e">
        <f t="shared" si="1"/>
        <v>#N/A</v>
      </c>
      <c r="I30" s="427">
        <f t="shared" si="8"/>
        <v>27</v>
      </c>
      <c r="J30" s="429" t="e">
        <f t="shared" si="2"/>
        <v>#N/A</v>
      </c>
      <c r="K30" s="428" t="e">
        <f t="shared" si="3"/>
        <v>#N/A</v>
      </c>
      <c r="L30" s="430">
        <f t="shared" si="4"/>
        <v>6.6313591789766188E-2</v>
      </c>
      <c r="M30" s="428" t="e">
        <f t="shared" si="5"/>
        <v>#N/A</v>
      </c>
    </row>
    <row r="31" spans="1:20">
      <c r="A31" s="420"/>
      <c r="B31" s="427">
        <v>28</v>
      </c>
      <c r="C31" s="428" t="e">
        <f t="shared" si="6"/>
        <v>#N/A</v>
      </c>
      <c r="D31" s="428">
        <f t="shared" si="7"/>
        <v>0</v>
      </c>
      <c r="E31" s="428" t="e">
        <f t="shared" si="9"/>
        <v>#N/A</v>
      </c>
      <c r="F31" s="428" t="e">
        <f t="shared" si="0"/>
        <v>#N/A</v>
      </c>
      <c r="G31" s="428" t="e">
        <f t="shared" si="1"/>
        <v>#N/A</v>
      </c>
      <c r="I31" s="427">
        <f t="shared" si="8"/>
        <v>28</v>
      </c>
      <c r="J31" s="429" t="e">
        <f t="shared" si="2"/>
        <v>#N/A</v>
      </c>
      <c r="K31" s="428" t="e">
        <f t="shared" si="3"/>
        <v>#N/A</v>
      </c>
      <c r="L31" s="430">
        <f t="shared" si="4"/>
        <v>5.9741974585374946E-2</v>
      </c>
      <c r="M31" s="428" t="e">
        <f t="shared" si="5"/>
        <v>#N/A</v>
      </c>
    </row>
    <row r="32" spans="1:20">
      <c r="A32" s="420"/>
      <c r="B32" s="427">
        <v>29</v>
      </c>
      <c r="C32" s="428" t="e">
        <f t="shared" si="6"/>
        <v>#N/A</v>
      </c>
      <c r="D32" s="428">
        <f t="shared" si="7"/>
        <v>0</v>
      </c>
      <c r="E32" s="428" t="e">
        <f t="shared" si="9"/>
        <v>#N/A</v>
      </c>
      <c r="F32" s="428" t="e">
        <f t="shared" si="0"/>
        <v>#N/A</v>
      </c>
      <c r="G32" s="428" t="e">
        <f t="shared" si="1"/>
        <v>#N/A</v>
      </c>
      <c r="I32" s="427">
        <f t="shared" si="8"/>
        <v>29</v>
      </c>
      <c r="J32" s="429" t="e">
        <f t="shared" si="2"/>
        <v>#N/A</v>
      </c>
      <c r="K32" s="428" t="e">
        <f t="shared" si="3"/>
        <v>#N/A</v>
      </c>
      <c r="L32" s="430">
        <f t="shared" si="4"/>
        <v>5.3821598725563004E-2</v>
      </c>
      <c r="M32" s="428" t="e">
        <f t="shared" si="5"/>
        <v>#N/A</v>
      </c>
    </row>
    <row r="33" spans="1:14">
      <c r="A33" s="420"/>
      <c r="B33" s="427">
        <v>30</v>
      </c>
      <c r="C33" s="428" t="e">
        <f t="shared" si="6"/>
        <v>#N/A</v>
      </c>
      <c r="D33" s="428">
        <f t="shared" si="7"/>
        <v>0</v>
      </c>
      <c r="E33" s="428" t="e">
        <f t="shared" si="9"/>
        <v>#N/A</v>
      </c>
      <c r="F33" s="428" t="e">
        <f t="shared" si="0"/>
        <v>#N/A</v>
      </c>
      <c r="G33" s="428" t="e">
        <f t="shared" si="1"/>
        <v>#N/A</v>
      </c>
      <c r="I33" s="427">
        <f t="shared" si="8"/>
        <v>30</v>
      </c>
      <c r="J33" s="429" t="e">
        <f t="shared" si="2"/>
        <v>#N/A</v>
      </c>
      <c r="K33" s="428" t="e">
        <f t="shared" si="3"/>
        <v>#N/A</v>
      </c>
      <c r="L33" s="430">
        <f t="shared" si="4"/>
        <v>4.8487926779786493E-2</v>
      </c>
      <c r="M33" s="428" t="e">
        <f t="shared" si="5"/>
        <v>#N/A</v>
      </c>
    </row>
    <row r="34" spans="1:14">
      <c r="A34" s="420"/>
      <c r="B34" s="427">
        <v>31</v>
      </c>
      <c r="C34" s="428" t="e">
        <f t="shared" si="6"/>
        <v>#N/A</v>
      </c>
      <c r="D34" s="428">
        <f t="shared" si="7"/>
        <v>0</v>
      </c>
      <c r="E34" s="428" t="e">
        <f t="shared" si="9"/>
        <v>#N/A</v>
      </c>
      <c r="F34" s="428" t="e">
        <f t="shared" si="0"/>
        <v>#N/A</v>
      </c>
      <c r="G34" s="428" t="e">
        <f t="shared" si="1"/>
        <v>#N/A</v>
      </c>
      <c r="I34" s="427">
        <f t="shared" si="8"/>
        <v>31</v>
      </c>
      <c r="J34" s="429" t="e">
        <f t="shared" si="2"/>
        <v>#N/A</v>
      </c>
      <c r="K34" s="428" t="e">
        <f t="shared" si="3"/>
        <v>#N/A</v>
      </c>
      <c r="L34" s="430">
        <f t="shared" si="4"/>
        <v>4.3682816918726573E-2</v>
      </c>
      <c r="M34" s="428" t="e">
        <f t="shared" si="5"/>
        <v>#N/A</v>
      </c>
    </row>
    <row r="35" spans="1:14">
      <c r="A35" s="420"/>
      <c r="B35" s="427">
        <v>32</v>
      </c>
      <c r="C35" s="428" t="e">
        <f t="shared" si="6"/>
        <v>#N/A</v>
      </c>
      <c r="D35" s="428">
        <f t="shared" si="7"/>
        <v>0</v>
      </c>
      <c r="E35" s="428" t="e">
        <f t="shared" si="9"/>
        <v>#N/A</v>
      </c>
      <c r="F35" s="428" t="e">
        <f t="shared" si="0"/>
        <v>#N/A</v>
      </c>
      <c r="G35" s="428" t="e">
        <f t="shared" si="1"/>
        <v>#N/A</v>
      </c>
      <c r="I35" s="427">
        <f t="shared" si="8"/>
        <v>32</v>
      </c>
      <c r="J35" s="429" t="e">
        <f t="shared" si="2"/>
        <v>#N/A</v>
      </c>
      <c r="K35" s="428" t="e">
        <f t="shared" si="3"/>
        <v>#N/A</v>
      </c>
      <c r="L35" s="430">
        <f t="shared" si="4"/>
        <v>3.9353889115969883E-2</v>
      </c>
      <c r="M35" s="428" t="e">
        <f t="shared" si="5"/>
        <v>#N/A</v>
      </c>
    </row>
    <row r="36" spans="1:14">
      <c r="A36" s="420"/>
      <c r="B36" s="427">
        <v>33</v>
      </c>
      <c r="C36" s="428" t="e">
        <f t="shared" si="6"/>
        <v>#N/A</v>
      </c>
      <c r="D36" s="428">
        <f t="shared" si="7"/>
        <v>0</v>
      </c>
      <c r="E36" s="428" t="e">
        <f t="shared" si="9"/>
        <v>#N/A</v>
      </c>
      <c r="F36" s="428" t="e">
        <f t="shared" si="0"/>
        <v>#N/A</v>
      </c>
      <c r="G36" s="428" t="e">
        <f t="shared" si="1"/>
        <v>#N/A</v>
      </c>
      <c r="I36" s="427">
        <f t="shared" si="8"/>
        <v>33</v>
      </c>
      <c r="J36" s="429" t="e">
        <f t="shared" si="2"/>
        <v>#N/A</v>
      </c>
      <c r="K36" s="428" t="e">
        <f t="shared" si="3"/>
        <v>#N/A</v>
      </c>
      <c r="L36" s="430">
        <f t="shared" si="4"/>
        <v>3.545395415853142E-2</v>
      </c>
      <c r="M36" s="428" t="e">
        <f t="shared" si="5"/>
        <v>#N/A</v>
      </c>
    </row>
    <row r="37" spans="1:14">
      <c r="A37" s="420"/>
      <c r="B37" s="427">
        <v>34</v>
      </c>
      <c r="C37" s="428" t="e">
        <f t="shared" si="6"/>
        <v>#N/A</v>
      </c>
      <c r="D37" s="428">
        <f t="shared" si="7"/>
        <v>0</v>
      </c>
      <c r="E37" s="428" t="e">
        <f t="shared" si="9"/>
        <v>#N/A</v>
      </c>
      <c r="F37" s="428" t="e">
        <f t="shared" si="0"/>
        <v>#N/A</v>
      </c>
      <c r="G37" s="428" t="e">
        <f t="shared" si="1"/>
        <v>#N/A</v>
      </c>
      <c r="I37" s="427">
        <f t="shared" si="8"/>
        <v>34</v>
      </c>
      <c r="J37" s="429" t="e">
        <f t="shared" si="2"/>
        <v>#N/A</v>
      </c>
      <c r="K37" s="428" t="e">
        <f t="shared" si="3"/>
        <v>#N/A</v>
      </c>
      <c r="L37" s="430">
        <f t="shared" si="4"/>
        <v>3.1940499241920196E-2</v>
      </c>
      <c r="M37" s="428" t="e">
        <f t="shared" si="5"/>
        <v>#N/A</v>
      </c>
    </row>
    <row r="38" spans="1:14">
      <c r="A38" s="420"/>
      <c r="B38" s="427">
        <v>35</v>
      </c>
      <c r="C38" s="428" t="e">
        <f t="shared" si="6"/>
        <v>#N/A</v>
      </c>
      <c r="D38" s="428">
        <f t="shared" si="7"/>
        <v>0</v>
      </c>
      <c r="E38" s="428" t="e">
        <f t="shared" si="9"/>
        <v>#N/A</v>
      </c>
      <c r="F38" s="428" t="e">
        <f t="shared" si="0"/>
        <v>#N/A</v>
      </c>
      <c r="G38" s="428" t="e">
        <f t="shared" si="1"/>
        <v>#N/A</v>
      </c>
      <c r="I38" s="427">
        <f t="shared" si="8"/>
        <v>35</v>
      </c>
      <c r="J38" s="429" t="e">
        <f t="shared" si="2"/>
        <v>#N/A</v>
      </c>
      <c r="K38" s="428" t="e">
        <f t="shared" si="3"/>
        <v>#N/A</v>
      </c>
      <c r="L38" s="430">
        <f t="shared" si="4"/>
        <v>2.8775224542270446E-2</v>
      </c>
      <c r="M38" s="428" t="e">
        <f t="shared" si="5"/>
        <v>#N/A</v>
      </c>
    </row>
    <row r="39" spans="1:14">
      <c r="A39" s="420"/>
      <c r="B39" s="427">
        <v>36</v>
      </c>
      <c r="C39" s="428" t="e">
        <f t="shared" si="6"/>
        <v>#N/A</v>
      </c>
      <c r="D39" s="428">
        <f t="shared" si="7"/>
        <v>0</v>
      </c>
      <c r="E39" s="428" t="e">
        <f t="shared" si="9"/>
        <v>#N/A</v>
      </c>
      <c r="F39" s="428" t="e">
        <f t="shared" si="0"/>
        <v>#N/A</v>
      </c>
      <c r="G39" s="428" t="e">
        <f t="shared" si="1"/>
        <v>#N/A</v>
      </c>
      <c r="I39" s="427">
        <f t="shared" si="8"/>
        <v>36</v>
      </c>
      <c r="J39" s="429" t="e">
        <f t="shared" si="2"/>
        <v>#N/A</v>
      </c>
      <c r="K39" s="428" t="e">
        <f t="shared" si="3"/>
        <v>#N/A</v>
      </c>
      <c r="L39" s="430">
        <f t="shared" si="4"/>
        <v>2.5923625713757153E-2</v>
      </c>
      <c r="M39" s="428" t="e">
        <f t="shared" si="5"/>
        <v>#N/A</v>
      </c>
    </row>
    <row r="40" spans="1:14">
      <c r="A40" s="420"/>
      <c r="B40" s="427">
        <v>37</v>
      </c>
      <c r="C40" s="428" t="e">
        <f t="shared" si="6"/>
        <v>#N/A</v>
      </c>
      <c r="D40" s="428">
        <f t="shared" si="7"/>
        <v>0</v>
      </c>
      <c r="E40" s="428" t="e">
        <f t="shared" si="9"/>
        <v>#N/A</v>
      </c>
      <c r="F40" s="428" t="e">
        <f t="shared" si="0"/>
        <v>#N/A</v>
      </c>
      <c r="G40" s="428" t="e">
        <f t="shared" si="1"/>
        <v>#N/A</v>
      </c>
      <c r="I40" s="427">
        <f t="shared" si="8"/>
        <v>37</v>
      </c>
      <c r="J40" s="429" t="e">
        <f t="shared" si="2"/>
        <v>#N/A</v>
      </c>
      <c r="K40" s="428" t="e">
        <f t="shared" si="3"/>
        <v>#N/A</v>
      </c>
      <c r="L40" s="430">
        <f t="shared" si="4"/>
        <v>2.3354617760141583E-2</v>
      </c>
      <c r="M40" s="428" t="e">
        <f t="shared" si="5"/>
        <v>#N/A</v>
      </c>
    </row>
    <row r="41" spans="1:14">
      <c r="A41" s="420"/>
      <c r="B41" s="427">
        <v>38</v>
      </c>
      <c r="C41" s="428" t="e">
        <f t="shared" si="6"/>
        <v>#N/A</v>
      </c>
      <c r="D41" s="428">
        <f t="shared" si="7"/>
        <v>0</v>
      </c>
      <c r="E41" s="428" t="e">
        <f t="shared" si="9"/>
        <v>#N/A</v>
      </c>
      <c r="F41" s="428" t="e">
        <f t="shared" si="0"/>
        <v>#N/A</v>
      </c>
      <c r="G41" s="428" t="e">
        <f t="shared" si="1"/>
        <v>#N/A</v>
      </c>
      <c r="I41" s="427">
        <f t="shared" si="8"/>
        <v>38</v>
      </c>
      <c r="J41" s="429" t="e">
        <f t="shared" si="2"/>
        <v>#N/A</v>
      </c>
      <c r="K41" s="428" t="e">
        <f t="shared" si="3"/>
        <v>#N/A</v>
      </c>
      <c r="L41" s="430">
        <f t="shared" si="4"/>
        <v>2.1040196180307728E-2</v>
      </c>
      <c r="M41" s="428" t="e">
        <f t="shared" si="5"/>
        <v>#N/A</v>
      </c>
    </row>
    <row r="42" spans="1:14">
      <c r="A42" s="420"/>
      <c r="B42" s="427">
        <v>39</v>
      </c>
      <c r="C42" s="428" t="e">
        <f t="shared" si="6"/>
        <v>#N/A</v>
      </c>
      <c r="D42" s="428">
        <f t="shared" si="7"/>
        <v>0</v>
      </c>
      <c r="E42" s="428" t="e">
        <f t="shared" si="9"/>
        <v>#N/A</v>
      </c>
      <c r="F42" s="428" t="e">
        <f t="shared" si="0"/>
        <v>#N/A</v>
      </c>
      <c r="G42" s="428" t="e">
        <f t="shared" si="1"/>
        <v>#N/A</v>
      </c>
      <c r="I42" s="427">
        <f t="shared" si="8"/>
        <v>39</v>
      </c>
      <c r="J42" s="429" t="e">
        <f t="shared" si="2"/>
        <v>#N/A</v>
      </c>
      <c r="K42" s="428" t="e">
        <f t="shared" si="3"/>
        <v>#N/A</v>
      </c>
      <c r="L42" s="430">
        <f t="shared" si="4"/>
        <v>1.8955131693970926E-2</v>
      </c>
      <c r="M42" s="428" t="e">
        <f t="shared" si="5"/>
        <v>#N/A</v>
      </c>
    </row>
    <row r="43" spans="1:14">
      <c r="A43" s="420"/>
      <c r="B43" s="427">
        <v>40</v>
      </c>
      <c r="C43" s="428" t="e">
        <f t="shared" si="6"/>
        <v>#N/A</v>
      </c>
      <c r="D43" s="428">
        <f t="shared" si="7"/>
        <v>0</v>
      </c>
      <c r="E43" s="428" t="e">
        <f t="shared" si="9"/>
        <v>#N/A</v>
      </c>
      <c r="F43" s="428" t="e">
        <f t="shared" si="0"/>
        <v>#N/A</v>
      </c>
      <c r="G43" s="428" t="e">
        <f t="shared" si="1"/>
        <v>#N/A</v>
      </c>
      <c r="I43" s="427">
        <f t="shared" si="8"/>
        <v>40</v>
      </c>
      <c r="J43" s="429" t="e">
        <f t="shared" si="2"/>
        <v>#N/A</v>
      </c>
      <c r="K43" s="428" t="e">
        <f t="shared" si="3"/>
        <v>#N/A</v>
      </c>
      <c r="L43" s="430">
        <f t="shared" si="4"/>
        <v>1.7076695219793627E-2</v>
      </c>
      <c r="M43" s="428" t="e">
        <f t="shared" si="5"/>
        <v>#N/A</v>
      </c>
    </row>
    <row r="45" spans="1:14" ht="13">
      <c r="B45" s="190" t="s">
        <v>1606</v>
      </c>
      <c r="L45" s="1506" t="e">
        <f>SUM(K4:K43)</f>
        <v>#N/A</v>
      </c>
      <c r="M45" s="1507"/>
    </row>
    <row r="46" spans="1:14" ht="13">
      <c r="B46" s="190" t="s">
        <v>299</v>
      </c>
      <c r="L46" s="1506" t="e">
        <f>SUM(M4:M43)</f>
        <v>#N/A</v>
      </c>
      <c r="M46" s="1507"/>
    </row>
    <row r="47" spans="1:14" ht="13">
      <c r="B47" s="190" t="s">
        <v>1007</v>
      </c>
      <c r="L47" s="1503">
        <v>0</v>
      </c>
      <c r="M47" s="1504"/>
      <c r="N47" s="431">
        <f>IF('Primary Input'!E21&gt;1,1,0)</f>
        <v>0</v>
      </c>
    </row>
    <row r="48" spans="1:14" ht="13">
      <c r="B48" s="190" t="s">
        <v>62</v>
      </c>
      <c r="L48" s="1503">
        <f>IF('Primary Input'!J27&lt;1,'Sources&amp;Uses'!F41,+'Primary Input'!J27)</f>
        <v>0</v>
      </c>
      <c r="M48" s="1504"/>
    </row>
    <row r="49" spans="2:13" ht="13">
      <c r="B49" s="190" t="s">
        <v>63</v>
      </c>
      <c r="L49" s="1503" t="e">
        <f>+G43</f>
        <v>#N/A</v>
      </c>
      <c r="M49" s="1504"/>
    </row>
    <row r="50" spans="2:13">
      <c r="L50" s="1505">
        <f>IF(L48=0,0,+L49/L48)</f>
        <v>0</v>
      </c>
      <c r="M50" s="1505"/>
    </row>
  </sheetData>
  <sheetProtection password="CCBC" sheet="1"/>
  <mergeCells count="7">
    <mergeCell ref="B2:G2"/>
    <mergeCell ref="L48:M48"/>
    <mergeCell ref="L49:M49"/>
    <mergeCell ref="L50:M50"/>
    <mergeCell ref="L45:M45"/>
    <mergeCell ref="L46:M46"/>
    <mergeCell ref="L47:M47"/>
  </mergeCells>
  <phoneticPr fontId="0" type="noConversion"/>
  <pageMargins left="0.75" right="0.75" top="1" bottom="1" header="0.5" footer="0.5"/>
  <pageSetup orientation="portrait" horizontalDpi="360" verticalDpi="360"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dimension ref="A1:K99"/>
  <sheetViews>
    <sheetView zoomScaleNormal="100" workbookViewId="0">
      <pane xSplit="4" ySplit="3" topLeftCell="E4" activePane="bottomRight" state="frozen"/>
      <selection activeCell="L5" sqref="L5"/>
      <selection pane="topRight" activeCell="L5" sqref="L5"/>
      <selection pane="bottomLeft" activeCell="L5" sqref="L5"/>
      <selection pane="bottomRight" activeCell="L5" sqref="L5"/>
    </sheetView>
  </sheetViews>
  <sheetFormatPr baseColWidth="10" defaultColWidth="9.1640625" defaultRowHeight="13"/>
  <cols>
    <col min="1" max="1" width="3.6640625" style="1" customWidth="1"/>
    <col min="2" max="2" width="9.1640625" style="1"/>
    <col min="3" max="3" width="18.6640625" style="1" customWidth="1"/>
    <col min="4" max="4" width="10.5" style="1" customWidth="1"/>
    <col min="5" max="6" width="18.6640625" style="1" customWidth="1"/>
    <col min="7" max="7" width="10.6640625" style="1" customWidth="1"/>
    <col min="8" max="16384" width="9.1640625" style="1"/>
  </cols>
  <sheetData>
    <row r="1" spans="1:7" ht="14" thickBot="1">
      <c r="A1" s="389" t="s">
        <v>360</v>
      </c>
      <c r="F1" s="879">
        <f>+Name</f>
        <v>0</v>
      </c>
      <c r="G1" s="374" t="e">
        <f>Cover!$H$6</f>
        <v>#N/A</v>
      </c>
    </row>
    <row r="2" spans="1:7" ht="14" thickTop="1">
      <c r="A2" s="17"/>
      <c r="B2" s="18"/>
      <c r="C2" s="19"/>
      <c r="D2" s="20"/>
      <c r="E2" s="328" t="s">
        <v>1100</v>
      </c>
      <c r="F2" s="94" t="s">
        <v>1585</v>
      </c>
      <c r="G2" s="94" t="s">
        <v>963</v>
      </c>
    </row>
    <row r="3" spans="1:7" ht="14" thickBot="1">
      <c r="A3" s="17"/>
      <c r="B3" s="18"/>
      <c r="C3" s="19"/>
      <c r="D3" s="20"/>
      <c r="E3" s="95" t="s">
        <v>1101</v>
      </c>
      <c r="F3" s="95" t="s">
        <v>1190</v>
      </c>
      <c r="G3" s="95" t="s">
        <v>964</v>
      </c>
    </row>
    <row r="4" spans="1:7" ht="14" thickTop="1">
      <c r="A4" s="17"/>
      <c r="B4" s="21" t="s">
        <v>1191</v>
      </c>
      <c r="C4" s="22"/>
      <c r="D4" s="23"/>
      <c r="E4" s="59"/>
      <c r="F4" s="59"/>
      <c r="G4" s="390"/>
    </row>
    <row r="5" spans="1:7">
      <c r="A5" s="17"/>
      <c r="B5" s="24"/>
      <c r="C5" s="19"/>
      <c r="D5" s="20"/>
      <c r="E5" s="42"/>
      <c r="F5" s="42"/>
      <c r="G5" s="391"/>
    </row>
    <row r="6" spans="1:7">
      <c r="A6" s="17"/>
      <c r="B6" s="24" t="s">
        <v>1192</v>
      </c>
      <c r="C6" s="19"/>
      <c r="D6" s="20"/>
      <c r="E6" s="60"/>
      <c r="F6" s="60"/>
      <c r="G6" s="391"/>
    </row>
    <row r="7" spans="1:7">
      <c r="A7" s="17"/>
      <c r="B7" s="25"/>
      <c r="C7" s="19" t="s">
        <v>1193</v>
      </c>
      <c r="D7" s="20"/>
      <c r="E7" s="26"/>
      <c r="F7" s="26"/>
      <c r="G7" s="391"/>
    </row>
    <row r="8" spans="1:7">
      <c r="A8" s="17"/>
      <c r="B8" s="25">
        <v>5121</v>
      </c>
      <c r="C8" s="27" t="s">
        <v>1788</v>
      </c>
      <c r="D8" s="20"/>
      <c r="E8" s="136"/>
      <c r="F8" s="162" t="e">
        <f>+'Rental Income'!L10*12</f>
        <v>#N/A</v>
      </c>
      <c r="G8" s="391"/>
    </row>
    <row r="9" spans="1:7">
      <c r="A9" s="17"/>
      <c r="B9" s="25">
        <v>5121</v>
      </c>
      <c r="C9" s="27" t="s">
        <v>1789</v>
      </c>
      <c r="D9" s="20"/>
      <c r="E9" s="136"/>
      <c r="F9" s="136"/>
      <c r="G9" s="391"/>
    </row>
    <row r="10" spans="1:7">
      <c r="A10" s="17"/>
      <c r="B10" s="25">
        <v>5190</v>
      </c>
      <c r="C10" s="19" t="s">
        <v>1790</v>
      </c>
      <c r="D10" s="20"/>
      <c r="E10" s="136"/>
      <c r="F10" s="136"/>
      <c r="G10" s="391"/>
    </row>
    <row r="11" spans="1:7">
      <c r="A11" s="17"/>
      <c r="B11" s="25">
        <v>5140</v>
      </c>
      <c r="C11" s="19" t="s">
        <v>1791</v>
      </c>
      <c r="D11" s="20"/>
      <c r="E11" s="136"/>
      <c r="F11" s="136"/>
      <c r="G11" s="391"/>
    </row>
    <row r="12" spans="1:7">
      <c r="A12" s="17"/>
      <c r="B12" s="28" t="s">
        <v>1792</v>
      </c>
      <c r="C12" s="29"/>
      <c r="D12" s="30"/>
      <c r="E12" s="31">
        <f>SUM(E8:E11)</f>
        <v>0</v>
      </c>
      <c r="F12" s="31" t="e">
        <f>SUM(F8:F11)</f>
        <v>#N/A</v>
      </c>
      <c r="G12" s="392">
        <v>0.02</v>
      </c>
    </row>
    <row r="13" spans="1:7">
      <c r="A13" s="17"/>
      <c r="B13" s="25"/>
      <c r="C13" s="19"/>
      <c r="D13" s="20"/>
      <c r="E13" s="32"/>
      <c r="F13" s="32"/>
      <c r="G13" s="391"/>
    </row>
    <row r="14" spans="1:7">
      <c r="A14" s="17"/>
      <c r="B14" s="24" t="s">
        <v>1793</v>
      </c>
      <c r="C14" s="19"/>
      <c r="D14" s="20"/>
      <c r="E14" s="32"/>
      <c r="F14" s="32"/>
      <c r="G14" s="391"/>
    </row>
    <row r="15" spans="1:7">
      <c r="A15" s="17"/>
      <c r="B15" s="25">
        <v>5220</v>
      </c>
      <c r="C15" s="19" t="s">
        <v>1794</v>
      </c>
      <c r="D15" s="58">
        <v>7.0000000000000007E-2</v>
      </c>
      <c r="E15" s="136"/>
      <c r="F15" s="162" t="e">
        <f>-D15*F8</f>
        <v>#N/A</v>
      </c>
      <c r="G15" s="391"/>
    </row>
    <row r="16" spans="1:7">
      <c r="A16" s="17"/>
      <c r="B16" s="25">
        <v>5240</v>
      </c>
      <c r="C16" s="19" t="s">
        <v>1791</v>
      </c>
      <c r="D16" s="20"/>
      <c r="E16" s="136"/>
      <c r="F16" s="162">
        <f>-D15*(F9+F10+F11)</f>
        <v>0</v>
      </c>
      <c r="G16" s="391"/>
    </row>
    <row r="17" spans="1:7">
      <c r="A17" s="17"/>
      <c r="B17" s="25">
        <v>5270</v>
      </c>
      <c r="C17" s="19" t="s">
        <v>1795</v>
      </c>
      <c r="D17" s="20"/>
      <c r="E17" s="136"/>
      <c r="F17" s="136"/>
      <c r="G17" s="391"/>
    </row>
    <row r="18" spans="1:7">
      <c r="A18" s="17"/>
      <c r="B18" s="25">
        <v>5290</v>
      </c>
      <c r="C18" s="19" t="s">
        <v>889</v>
      </c>
      <c r="D18" s="33"/>
      <c r="E18" s="136"/>
      <c r="F18" s="136"/>
      <c r="G18" s="391"/>
    </row>
    <row r="19" spans="1:7">
      <c r="A19" s="17"/>
      <c r="B19" s="28" t="s">
        <v>890</v>
      </c>
      <c r="C19" s="29"/>
      <c r="D19" s="34"/>
      <c r="E19" s="35">
        <f>SUM(E15:E18)</f>
        <v>0</v>
      </c>
      <c r="F19" s="35" t="e">
        <f>SUM(F15:F18)</f>
        <v>#N/A</v>
      </c>
      <c r="G19" s="393"/>
    </row>
    <row r="20" spans="1:7">
      <c r="A20" s="17"/>
      <c r="B20" s="24" t="s">
        <v>891</v>
      </c>
      <c r="C20" s="19"/>
      <c r="D20" s="33"/>
      <c r="E20" s="36">
        <f>E12+E19</f>
        <v>0</v>
      </c>
      <c r="F20" s="36" t="e">
        <f>F12+F19</f>
        <v>#N/A</v>
      </c>
      <c r="G20" s="391"/>
    </row>
    <row r="21" spans="1:7">
      <c r="A21" s="17"/>
      <c r="B21" s="37"/>
      <c r="C21" s="19"/>
      <c r="D21" s="33"/>
      <c r="E21" s="32"/>
      <c r="F21" s="32"/>
      <c r="G21" s="391"/>
    </row>
    <row r="22" spans="1:7">
      <c r="A22" s="17"/>
      <c r="B22" s="38" t="s">
        <v>892</v>
      </c>
      <c r="C22" s="19"/>
      <c r="D22" s="33"/>
      <c r="E22" s="32"/>
      <c r="F22" s="32"/>
      <c r="G22" s="391"/>
    </row>
    <row r="23" spans="1:7">
      <c r="A23" s="17"/>
      <c r="B23" s="39">
        <v>5910</v>
      </c>
      <c r="C23" s="19" t="s">
        <v>893</v>
      </c>
      <c r="D23" s="33"/>
      <c r="E23" s="136"/>
      <c r="F23" s="136"/>
      <c r="G23" s="391"/>
    </row>
    <row r="24" spans="1:7">
      <c r="A24" s="17"/>
      <c r="B24" s="25">
        <v>6370</v>
      </c>
      <c r="C24" s="19" t="s">
        <v>894</v>
      </c>
      <c r="D24" s="33"/>
      <c r="E24" s="136"/>
      <c r="F24" s="136"/>
      <c r="G24" s="391"/>
    </row>
    <row r="25" spans="1:7">
      <c r="A25" s="17"/>
      <c r="B25" s="25">
        <v>6370</v>
      </c>
      <c r="C25" s="19" t="s">
        <v>895</v>
      </c>
      <c r="D25" s="33"/>
      <c r="E25" s="136"/>
      <c r="F25" s="136"/>
      <c r="G25" s="391"/>
    </row>
    <row r="26" spans="1:7">
      <c r="A26" s="17"/>
      <c r="B26" s="39">
        <v>5920</v>
      </c>
      <c r="C26" s="19" t="s">
        <v>896</v>
      </c>
      <c r="D26" s="33"/>
      <c r="E26" s="136"/>
      <c r="F26" s="136"/>
      <c r="G26" s="391"/>
    </row>
    <row r="27" spans="1:7">
      <c r="A27" s="17"/>
      <c r="B27" s="40" t="s">
        <v>633</v>
      </c>
      <c r="C27" s="29"/>
      <c r="D27" s="34"/>
      <c r="E27" s="41">
        <f>SUM(E23:E26)</f>
        <v>0</v>
      </c>
      <c r="F27" s="41">
        <f>SUM(F23:F26)</f>
        <v>0</v>
      </c>
      <c r="G27" s="392">
        <v>0.03</v>
      </c>
    </row>
    <row r="28" spans="1:7">
      <c r="A28" s="17"/>
      <c r="B28" s="38" t="s">
        <v>634</v>
      </c>
      <c r="C28" s="19"/>
      <c r="D28" s="33"/>
      <c r="E28" s="42">
        <f>E20+E27</f>
        <v>0</v>
      </c>
      <c r="F28" s="42" t="e">
        <f>F20+F27</f>
        <v>#N/A</v>
      </c>
      <c r="G28" s="391"/>
    </row>
    <row r="29" spans="1:7">
      <c r="A29" s="17"/>
      <c r="B29" s="38"/>
      <c r="C29" s="19"/>
      <c r="D29" s="33"/>
      <c r="E29" s="32"/>
      <c r="F29" s="32"/>
      <c r="G29" s="391"/>
    </row>
    <row r="30" spans="1:7">
      <c r="A30" s="17"/>
      <c r="B30" s="38" t="s">
        <v>635</v>
      </c>
      <c r="C30" s="19"/>
      <c r="D30" s="33"/>
      <c r="E30" s="32"/>
      <c r="F30" s="32"/>
      <c r="G30" s="391"/>
    </row>
    <row r="31" spans="1:7">
      <c r="A31" s="17"/>
      <c r="B31" s="39">
        <v>6210</v>
      </c>
      <c r="C31" s="19" t="s">
        <v>112</v>
      </c>
      <c r="D31" s="33"/>
      <c r="E31" s="136"/>
      <c r="F31" s="136"/>
      <c r="G31" s="391"/>
    </row>
    <row r="32" spans="1:7">
      <c r="A32" s="17"/>
      <c r="B32" s="39">
        <v>6250</v>
      </c>
      <c r="C32" s="19" t="s">
        <v>113</v>
      </c>
      <c r="D32" s="33"/>
      <c r="E32" s="136"/>
      <c r="F32" s="136"/>
      <c r="G32" s="391"/>
    </row>
    <row r="33" spans="1:7">
      <c r="A33" s="17"/>
      <c r="B33" s="39">
        <v>6310</v>
      </c>
      <c r="C33" s="19" t="s">
        <v>114</v>
      </c>
      <c r="D33" s="33"/>
      <c r="E33" s="136"/>
      <c r="F33" s="136"/>
      <c r="G33" s="391"/>
    </row>
    <row r="34" spans="1:7">
      <c r="A34" s="17"/>
      <c r="B34" s="25">
        <v>6311</v>
      </c>
      <c r="C34" s="19" t="s">
        <v>115</v>
      </c>
      <c r="D34" s="33"/>
      <c r="E34" s="136"/>
      <c r="F34" s="136"/>
      <c r="G34" s="391"/>
    </row>
    <row r="35" spans="1:7">
      <c r="A35" s="17"/>
      <c r="B35" s="25">
        <v>6320</v>
      </c>
      <c r="C35" s="27" t="s">
        <v>116</v>
      </c>
      <c r="D35" s="33"/>
      <c r="E35" s="136"/>
      <c r="F35" s="136"/>
      <c r="G35" s="394">
        <v>0.03</v>
      </c>
    </row>
    <row r="36" spans="1:7">
      <c r="A36" s="17"/>
      <c r="B36" s="25">
        <v>6330</v>
      </c>
      <c r="C36" s="19" t="s">
        <v>117</v>
      </c>
      <c r="D36" s="33"/>
      <c r="E36" s="136"/>
      <c r="F36" s="136"/>
      <c r="G36" s="391"/>
    </row>
    <row r="37" spans="1:7">
      <c r="A37" s="17"/>
      <c r="B37" s="25">
        <v>6331</v>
      </c>
      <c r="C37" s="19" t="s">
        <v>118</v>
      </c>
      <c r="D37" s="33"/>
      <c r="E37" s="136"/>
      <c r="F37" s="136"/>
      <c r="G37" s="391"/>
    </row>
    <row r="38" spans="1:7">
      <c r="A38" s="17"/>
      <c r="B38" s="25">
        <v>6340</v>
      </c>
      <c r="C38" s="19" t="s">
        <v>119</v>
      </c>
      <c r="D38" s="33"/>
      <c r="E38" s="136"/>
      <c r="F38" s="136"/>
      <c r="G38" s="391"/>
    </row>
    <row r="39" spans="1:7">
      <c r="A39" s="17"/>
      <c r="B39" s="25">
        <v>6350</v>
      </c>
      <c r="C39" s="19" t="s">
        <v>120</v>
      </c>
      <c r="D39" s="33"/>
      <c r="E39" s="136"/>
      <c r="F39" s="136"/>
      <c r="G39" s="391"/>
    </row>
    <row r="40" spans="1:7">
      <c r="A40" s="17"/>
      <c r="B40" s="25">
        <v>6351</v>
      </c>
      <c r="C40" s="19" t="s">
        <v>121</v>
      </c>
      <c r="D40" s="33"/>
      <c r="E40" s="136"/>
      <c r="F40" s="136"/>
      <c r="G40" s="391"/>
    </row>
    <row r="41" spans="1:7">
      <c r="A41" s="17"/>
      <c r="B41" s="25">
        <v>6390</v>
      </c>
      <c r="C41" s="19" t="s">
        <v>227</v>
      </c>
      <c r="D41" s="33"/>
      <c r="E41" s="136"/>
      <c r="F41" s="136"/>
      <c r="G41" s="391"/>
    </row>
    <row r="42" spans="1:7">
      <c r="A42" s="17"/>
      <c r="B42" s="43" t="s">
        <v>737</v>
      </c>
      <c r="C42" s="19"/>
      <c r="D42" s="33"/>
      <c r="E42" s="44">
        <f>SUM(E31:E41)-E35</f>
        <v>0</v>
      </c>
      <c r="F42" s="44">
        <f>SUM(F31:F41)-F35</f>
        <v>0</v>
      </c>
      <c r="G42" s="394">
        <v>0.03</v>
      </c>
    </row>
    <row r="43" spans="1:7">
      <c r="A43" s="17"/>
      <c r="B43" s="40" t="s">
        <v>738</v>
      </c>
      <c r="C43" s="29"/>
      <c r="D43" s="34"/>
      <c r="E43" s="41">
        <f>SUM(E31:E41)</f>
        <v>0</v>
      </c>
      <c r="F43" s="41">
        <f>SUM(F31:F41)</f>
        <v>0</v>
      </c>
      <c r="G43" s="393"/>
    </row>
    <row r="44" spans="1:7">
      <c r="A44" s="17"/>
      <c r="B44" s="38" t="s">
        <v>739</v>
      </c>
      <c r="C44" s="19"/>
      <c r="D44" s="33"/>
      <c r="E44" s="32"/>
      <c r="F44" s="32"/>
      <c r="G44" s="391"/>
    </row>
    <row r="45" spans="1:7">
      <c r="A45" s="17"/>
      <c r="B45" s="39">
        <v>6420</v>
      </c>
      <c r="C45" s="19" t="s">
        <v>1246</v>
      </c>
      <c r="D45" s="33"/>
      <c r="E45" s="136"/>
      <c r="F45" s="136"/>
      <c r="G45" s="391"/>
    </row>
    <row r="46" spans="1:7">
      <c r="A46" s="17"/>
      <c r="B46" s="39">
        <v>6420</v>
      </c>
      <c r="C46" s="19" t="s">
        <v>1247</v>
      </c>
      <c r="D46" s="33"/>
      <c r="E46" s="136"/>
      <c r="F46" s="136"/>
      <c r="G46" s="391"/>
    </row>
    <row r="47" spans="1:7">
      <c r="A47" s="17"/>
      <c r="B47" s="39">
        <v>6450</v>
      </c>
      <c r="C47" s="19" t="s">
        <v>1248</v>
      </c>
      <c r="D47" s="33"/>
      <c r="E47" s="136"/>
      <c r="F47" s="136"/>
      <c r="G47" s="391"/>
    </row>
    <row r="48" spans="1:7">
      <c r="A48" s="17"/>
      <c r="B48" s="39">
        <v>6451</v>
      </c>
      <c r="C48" s="19" t="s">
        <v>1249</v>
      </c>
      <c r="D48" s="33"/>
      <c r="E48" s="136"/>
      <c r="F48" s="136"/>
      <c r="G48" s="391"/>
    </row>
    <row r="49" spans="1:7">
      <c r="A49" s="17"/>
      <c r="B49" s="39">
        <v>6452</v>
      </c>
      <c r="C49" s="19" t="s">
        <v>1250</v>
      </c>
      <c r="D49" s="33"/>
      <c r="E49" s="136"/>
      <c r="F49" s="136"/>
      <c r="G49" s="391"/>
    </row>
    <row r="50" spans="1:7">
      <c r="A50" s="17"/>
      <c r="B50" s="39">
        <v>6453</v>
      </c>
      <c r="C50" s="19" t="s">
        <v>1251</v>
      </c>
      <c r="D50" s="33"/>
      <c r="E50" s="136"/>
      <c r="F50" s="136"/>
      <c r="G50" s="391"/>
    </row>
    <row r="51" spans="1:7" ht="17.25" customHeight="1" thickBot="1">
      <c r="A51" s="17"/>
      <c r="B51" s="149" t="s">
        <v>1252</v>
      </c>
      <c r="C51" s="150"/>
      <c r="D51" s="57"/>
      <c r="E51" s="151">
        <f>SUM(E45:E50)</f>
        <v>0</v>
      </c>
      <c r="F51" s="151">
        <f>SUM(F45:F50)</f>
        <v>0</v>
      </c>
      <c r="G51" s="395">
        <v>0.03</v>
      </c>
    </row>
    <row r="52" spans="1:7" ht="40.5" customHeight="1" thickTop="1" thickBot="1">
      <c r="G52" s="374" t="e">
        <f>Cover!$H$6</f>
        <v>#N/A</v>
      </c>
    </row>
    <row r="53" spans="1:7" ht="13.5" customHeight="1" thickTop="1">
      <c r="A53" s="17"/>
      <c r="B53" s="19"/>
      <c r="C53" s="19"/>
      <c r="D53" s="33"/>
      <c r="E53" s="94" t="s">
        <v>1100</v>
      </c>
      <c r="F53" s="94" t="s">
        <v>1585</v>
      </c>
      <c r="G53" s="94" t="s">
        <v>963</v>
      </c>
    </row>
    <row r="54" spans="1:7" ht="13.5" customHeight="1" thickBot="1">
      <c r="A54" s="17"/>
      <c r="B54" s="19"/>
      <c r="C54" s="19"/>
      <c r="D54" s="33"/>
      <c r="E54" s="95" t="s">
        <v>1101</v>
      </c>
      <c r="F54" s="95" t="s">
        <v>1190</v>
      </c>
      <c r="G54" s="95" t="s">
        <v>964</v>
      </c>
    </row>
    <row r="55" spans="1:7" ht="14" thickTop="1">
      <c r="A55" s="17"/>
      <c r="B55" s="103" t="s">
        <v>1225</v>
      </c>
      <c r="C55" s="22"/>
      <c r="D55" s="104"/>
      <c r="E55" s="105"/>
      <c r="F55" s="105"/>
      <c r="G55" s="390"/>
    </row>
    <row r="56" spans="1:7">
      <c r="A56" s="17"/>
      <c r="B56" s="39">
        <v>6510</v>
      </c>
      <c r="C56" s="19" t="s">
        <v>1226</v>
      </c>
      <c r="D56" s="33"/>
      <c r="E56" s="136"/>
      <c r="F56" s="136"/>
      <c r="G56" s="391"/>
    </row>
    <row r="57" spans="1:7">
      <c r="A57" s="17"/>
      <c r="B57" s="39">
        <v>6515</v>
      </c>
      <c r="C57" s="19" t="s">
        <v>1227</v>
      </c>
      <c r="D57" s="33"/>
      <c r="E57" s="136"/>
      <c r="F57" s="136"/>
      <c r="G57" s="391"/>
    </row>
    <row r="58" spans="1:7">
      <c r="A58" s="17"/>
      <c r="B58" s="39">
        <v>6520</v>
      </c>
      <c r="C58" s="19" t="s">
        <v>1228</v>
      </c>
      <c r="D58" s="33"/>
      <c r="E58" s="136"/>
      <c r="F58" s="136"/>
      <c r="G58" s="391"/>
    </row>
    <row r="59" spans="1:7">
      <c r="A59" s="17"/>
      <c r="B59" s="39">
        <v>6525</v>
      </c>
      <c r="C59" s="19" t="s">
        <v>1229</v>
      </c>
      <c r="D59" s="33"/>
      <c r="E59" s="136"/>
      <c r="F59" s="136"/>
      <c r="G59" s="391"/>
    </row>
    <row r="60" spans="1:7">
      <c r="A60" s="17"/>
      <c r="B60" s="25">
        <v>6530</v>
      </c>
      <c r="C60" s="19" t="s">
        <v>1230</v>
      </c>
      <c r="D60" s="33"/>
      <c r="E60" s="136"/>
      <c r="F60" s="136"/>
      <c r="G60" s="391"/>
    </row>
    <row r="61" spans="1:7">
      <c r="A61" s="17"/>
      <c r="B61" s="25">
        <v>6545</v>
      </c>
      <c r="C61" s="19" t="s">
        <v>1231</v>
      </c>
      <c r="D61" s="33"/>
      <c r="E61" s="136"/>
      <c r="F61" s="136"/>
      <c r="G61" s="391"/>
    </row>
    <row r="62" spans="1:7">
      <c r="A62" s="17"/>
      <c r="B62" s="25">
        <v>6546</v>
      </c>
      <c r="C62" s="19" t="s">
        <v>1232</v>
      </c>
      <c r="D62" s="33"/>
      <c r="E62" s="136"/>
      <c r="F62" s="136"/>
      <c r="G62" s="391"/>
    </row>
    <row r="63" spans="1:7">
      <c r="A63" s="17"/>
      <c r="B63" s="43">
        <v>6570</v>
      </c>
      <c r="C63" s="19" t="s">
        <v>664</v>
      </c>
      <c r="D63" s="33"/>
      <c r="E63" s="136"/>
      <c r="F63" s="136"/>
      <c r="G63" s="391"/>
    </row>
    <row r="64" spans="1:7">
      <c r="A64" s="17"/>
      <c r="B64" s="43">
        <v>6590</v>
      </c>
      <c r="C64" s="19" t="s">
        <v>665</v>
      </c>
      <c r="D64" s="33"/>
      <c r="E64" s="136"/>
      <c r="F64" s="136"/>
      <c r="G64" s="391"/>
    </row>
    <row r="65" spans="1:11">
      <c r="A65" s="17"/>
      <c r="B65" s="43"/>
      <c r="C65" s="19" t="s">
        <v>293</v>
      </c>
      <c r="D65" s="33"/>
      <c r="E65" s="136"/>
      <c r="F65" s="136"/>
      <c r="G65" s="391"/>
    </row>
    <row r="66" spans="1:11">
      <c r="A66" s="17"/>
      <c r="B66" s="40" t="s">
        <v>294</v>
      </c>
      <c r="C66" s="29"/>
      <c r="D66" s="34"/>
      <c r="E66" s="41">
        <f>SUM(E56:E65)</f>
        <v>0</v>
      </c>
      <c r="F66" s="41">
        <f>SUM(F56:F65)</f>
        <v>0</v>
      </c>
      <c r="G66" s="392">
        <v>0.03</v>
      </c>
    </row>
    <row r="67" spans="1:11">
      <c r="A67" s="17"/>
      <c r="B67" s="38" t="s">
        <v>295</v>
      </c>
      <c r="C67" s="19"/>
      <c r="D67" s="33"/>
      <c r="E67" s="45"/>
      <c r="F67" s="45"/>
      <c r="G67" s="391"/>
    </row>
    <row r="68" spans="1:11">
      <c r="A68" s="17"/>
      <c r="B68" s="39">
        <v>6710</v>
      </c>
      <c r="C68" s="19" t="s">
        <v>296</v>
      </c>
      <c r="D68" s="33"/>
      <c r="E68" s="136"/>
      <c r="F68" s="136"/>
      <c r="G68" s="394">
        <v>0.03</v>
      </c>
    </row>
    <row r="69" spans="1:11">
      <c r="A69" s="17"/>
      <c r="B69" s="39">
        <v>6711</v>
      </c>
      <c r="C69" s="19" t="s">
        <v>297</v>
      </c>
      <c r="D69" s="33"/>
      <c r="E69" s="136"/>
      <c r="F69" s="136"/>
      <c r="G69" s="391"/>
    </row>
    <row r="70" spans="1:11">
      <c r="A70" s="17"/>
      <c r="B70" s="39">
        <v>6719</v>
      </c>
      <c r="C70" s="19" t="s">
        <v>298</v>
      </c>
      <c r="D70" s="33"/>
      <c r="E70" s="136"/>
      <c r="F70" s="136"/>
      <c r="G70" s="391"/>
    </row>
    <row r="71" spans="1:11">
      <c r="A71" s="17"/>
      <c r="B71" s="39">
        <v>6720</v>
      </c>
      <c r="C71" s="19" t="s">
        <v>1958</v>
      </c>
      <c r="D71" s="33"/>
      <c r="E71" s="136"/>
      <c r="F71" s="136"/>
      <c r="G71" s="394">
        <v>0.03</v>
      </c>
    </row>
    <row r="72" spans="1:11">
      <c r="A72" s="17"/>
      <c r="B72" s="25">
        <v>6721</v>
      </c>
      <c r="C72" s="19" t="s">
        <v>1959</v>
      </c>
      <c r="D72" s="33"/>
      <c r="E72" s="136"/>
      <c r="F72" s="136"/>
      <c r="G72" s="391"/>
    </row>
    <row r="73" spans="1:11">
      <c r="A73" s="17"/>
      <c r="B73" s="25">
        <v>6722</v>
      </c>
      <c r="C73" s="19" t="s">
        <v>1960</v>
      </c>
      <c r="D73" s="33"/>
      <c r="E73" s="136"/>
      <c r="F73" s="136"/>
      <c r="G73" s="391"/>
    </row>
    <row r="74" spans="1:11">
      <c r="A74" s="17"/>
      <c r="B74" s="39">
        <v>6723</v>
      </c>
      <c r="C74" s="19" t="s">
        <v>1961</v>
      </c>
      <c r="D74" s="33"/>
      <c r="E74" s="136"/>
      <c r="F74" s="136"/>
      <c r="G74" s="391"/>
    </row>
    <row r="75" spans="1:11">
      <c r="A75" s="17"/>
      <c r="B75" s="39">
        <v>6279</v>
      </c>
      <c r="C75" s="19" t="s">
        <v>1962</v>
      </c>
      <c r="D75" s="33"/>
      <c r="E75" s="136"/>
      <c r="F75" s="136"/>
      <c r="G75" s="394">
        <v>0.03</v>
      </c>
    </row>
    <row r="76" spans="1:11">
      <c r="A76" s="17"/>
      <c r="B76" s="40" t="s">
        <v>1963</v>
      </c>
      <c r="C76" s="29"/>
      <c r="D76" s="34"/>
      <c r="E76" s="41">
        <f>SUM(E68:E75)</f>
        <v>0</v>
      </c>
      <c r="F76" s="41">
        <f>SUM(F68:F75)</f>
        <v>0</v>
      </c>
      <c r="G76" s="392"/>
    </row>
    <row r="77" spans="1:11">
      <c r="A77" s="17"/>
      <c r="B77" s="25"/>
      <c r="C77" s="19"/>
      <c r="D77" s="33"/>
      <c r="E77" s="45"/>
      <c r="F77" s="45"/>
      <c r="G77" s="391"/>
    </row>
    <row r="78" spans="1:11">
      <c r="A78" s="17"/>
      <c r="B78" s="38" t="s">
        <v>1964</v>
      </c>
      <c r="C78" s="18"/>
      <c r="D78" s="46"/>
      <c r="E78" s="42">
        <f>E43+E51+E66+E76</f>
        <v>0</v>
      </c>
      <c r="F78" s="42">
        <f>F43+F51+F66+F76</f>
        <v>0</v>
      </c>
      <c r="G78" s="391"/>
      <c r="K78" s="396"/>
    </row>
    <row r="79" spans="1:11" ht="14" thickBot="1">
      <c r="A79" s="17"/>
      <c r="B79" s="38"/>
      <c r="C79" s="18"/>
      <c r="D79" s="46"/>
      <c r="E79" s="42"/>
      <c r="F79" s="42"/>
      <c r="G79" s="397"/>
    </row>
    <row r="80" spans="1:11" ht="15" thickTop="1" thickBot="1">
      <c r="A80" s="17"/>
      <c r="B80" s="137" t="s">
        <v>717</v>
      </c>
      <c r="C80" s="138"/>
      <c r="D80" s="139"/>
      <c r="E80" s="141">
        <f>E28-E78</f>
        <v>0</v>
      </c>
      <c r="F80" s="141" t="e">
        <f>F28-F78</f>
        <v>#N/A</v>
      </c>
      <c r="G80" s="398"/>
    </row>
    <row r="81" spans="1:8" ht="14" thickTop="1">
      <c r="A81" s="17"/>
      <c r="B81" s="38"/>
      <c r="C81" s="18"/>
      <c r="D81" s="47"/>
      <c r="E81" s="48"/>
      <c r="F81" s="48"/>
      <c r="G81" s="391"/>
    </row>
    <row r="82" spans="1:8">
      <c r="A82" s="17"/>
      <c r="B82" s="38" t="s">
        <v>718</v>
      </c>
      <c r="C82" s="18"/>
      <c r="D82" s="62"/>
      <c r="E82" s="136"/>
      <c r="F82" s="162">
        <f>+'Reserve 20 Yr Schedule'!E5</f>
        <v>0</v>
      </c>
      <c r="G82" s="394">
        <f>+'Reserve 20 Yr Schedule'!I4</f>
        <v>2.5000000000000001E-2</v>
      </c>
    </row>
    <row r="83" spans="1:8" ht="14" thickBot="1">
      <c r="A83" s="17"/>
      <c r="B83" s="38"/>
      <c r="C83" s="18"/>
      <c r="D83" s="47"/>
      <c r="E83" s="49"/>
      <c r="F83" s="49"/>
      <c r="G83" s="397"/>
    </row>
    <row r="84" spans="1:8" ht="15" thickTop="1" thickBot="1">
      <c r="A84" s="17"/>
      <c r="B84" s="137" t="s">
        <v>719</v>
      </c>
      <c r="C84" s="138"/>
      <c r="D84" s="139"/>
      <c r="E84" s="141">
        <f>E80-E82</f>
        <v>0</v>
      </c>
      <c r="F84" s="141" t="e">
        <f>F80-F82</f>
        <v>#N/A</v>
      </c>
      <c r="G84" s="398"/>
    </row>
    <row r="85" spans="1:8" ht="14" thickTop="1">
      <c r="A85" s="17"/>
      <c r="B85" s="25"/>
      <c r="C85" s="19"/>
      <c r="D85" s="33"/>
      <c r="E85" s="50"/>
      <c r="F85" s="50"/>
      <c r="G85" s="391"/>
    </row>
    <row r="86" spans="1:8">
      <c r="A86" s="17"/>
      <c r="B86" s="51" t="s">
        <v>720</v>
      </c>
      <c r="C86" s="19"/>
      <c r="D86" s="33"/>
      <c r="E86" s="52"/>
      <c r="F86" s="52"/>
      <c r="G86" s="391"/>
    </row>
    <row r="87" spans="1:8">
      <c r="A87" s="17"/>
      <c r="B87" s="24" t="s">
        <v>721</v>
      </c>
      <c r="C87" s="19"/>
      <c r="D87" s="33"/>
      <c r="E87" s="136"/>
      <c r="F87" s="162">
        <f>+'Loan Information'!E12</f>
        <v>0</v>
      </c>
      <c r="G87" s="391"/>
    </row>
    <row r="88" spans="1:8">
      <c r="A88" s="17"/>
      <c r="B88" s="24" t="s">
        <v>722</v>
      </c>
      <c r="C88" s="19"/>
      <c r="D88" s="33"/>
      <c r="E88" s="136"/>
      <c r="F88" s="162">
        <f>+'Loan Information'!E29</f>
        <v>0</v>
      </c>
      <c r="G88" s="391"/>
    </row>
    <row r="89" spans="1:8" ht="14" thickBot="1">
      <c r="A89" s="17"/>
      <c r="B89" s="24"/>
      <c r="C89" s="19"/>
      <c r="D89" s="33"/>
      <c r="E89" s="53"/>
      <c r="F89" s="53"/>
      <c r="G89" s="397"/>
    </row>
    <row r="90" spans="1:8" ht="15" thickTop="1" thickBot="1">
      <c r="A90" s="17"/>
      <c r="B90" s="137" t="s">
        <v>724</v>
      </c>
      <c r="C90" s="138"/>
      <c r="D90" s="139"/>
      <c r="E90" s="140">
        <f>+E84-E86-E87-E88</f>
        <v>0</v>
      </c>
      <c r="F90" s="140" t="e">
        <f>+F84-F86-F87-F88</f>
        <v>#N/A</v>
      </c>
      <c r="G90" s="398"/>
    </row>
    <row r="91" spans="1:8" ht="14" thickTop="1">
      <c r="A91" s="17"/>
      <c r="B91" s="24"/>
      <c r="C91" s="19"/>
      <c r="D91" s="33"/>
      <c r="E91" s="890" t="str">
        <f>IF(E92&lt;1,"",4.5%)</f>
        <v/>
      </c>
      <c r="F91" s="53"/>
      <c r="G91" s="391"/>
    </row>
    <row r="92" spans="1:8">
      <c r="A92" s="17"/>
      <c r="B92" s="24" t="str">
        <f>IF(E92&lt;1,"","Eligible CRP Payment")</f>
        <v/>
      </c>
      <c r="C92" s="19"/>
      <c r="D92" s="58"/>
      <c r="E92" s="891">
        <f>+Amortization!L47*Amortization!N47</f>
        <v>0</v>
      </c>
      <c r="F92" s="136">
        <f>IF(E92=0,0,-PMT(E91/21,180,E92)*12)</f>
        <v>0</v>
      </c>
      <c r="G92" s="391"/>
    </row>
    <row r="93" spans="1:8">
      <c r="A93" s="834"/>
      <c r="B93" s="24" t="s">
        <v>2017</v>
      </c>
      <c r="C93" s="19"/>
      <c r="D93" s="58">
        <f>50%*H93</f>
        <v>0</v>
      </c>
      <c r="E93" s="53"/>
      <c r="F93" s="136" t="e">
        <f>+(F90-F92)*D93</f>
        <v>#N/A</v>
      </c>
      <c r="G93" s="391"/>
      <c r="H93" s="883">
        <f>IF('Primary Input'!E21+'Primary Input'!E22&lt;1,0,1)</f>
        <v>0</v>
      </c>
    </row>
    <row r="94" spans="1:8">
      <c r="A94" s="834"/>
      <c r="B94" s="24"/>
      <c r="C94" s="19"/>
      <c r="D94" s="33"/>
      <c r="E94" s="53"/>
      <c r="F94" s="53"/>
      <c r="G94" s="391"/>
    </row>
    <row r="95" spans="1:8">
      <c r="A95" s="17"/>
      <c r="B95" s="54" t="s">
        <v>1300</v>
      </c>
      <c r="C95" s="19"/>
      <c r="D95" s="58">
        <f>1-D93</f>
        <v>1</v>
      </c>
      <c r="E95" s="53"/>
      <c r="F95" s="136" t="e">
        <f>+F90-92-F93</f>
        <v>#N/A</v>
      </c>
      <c r="G95" s="391"/>
    </row>
    <row r="96" spans="1:8">
      <c r="A96" s="17"/>
      <c r="B96" s="54" t="s">
        <v>723</v>
      </c>
      <c r="C96" s="19"/>
      <c r="D96" s="33"/>
      <c r="E96" s="53"/>
      <c r="F96" s="136">
        <v>0</v>
      </c>
      <c r="G96" s="391"/>
    </row>
    <row r="97" spans="1:7">
      <c r="A97" s="17"/>
      <c r="B97" s="25"/>
      <c r="C97" s="19"/>
      <c r="D97" s="33"/>
      <c r="E97" s="26"/>
      <c r="F97" s="26"/>
      <c r="G97" s="391"/>
    </row>
    <row r="98" spans="1:7" ht="14" thickBot="1">
      <c r="A98" s="17"/>
      <c r="B98" s="55" t="s">
        <v>1253</v>
      </c>
      <c r="C98" s="56"/>
      <c r="D98" s="57"/>
      <c r="E98" s="61" t="str">
        <f>IF(E84=0,"0",E84/SUM(E87:E88))</f>
        <v>0</v>
      </c>
      <c r="F98" s="61" t="str">
        <f>IF((F87+F88)=0,"0",F84/SUM(F87:F88))</f>
        <v>0</v>
      </c>
      <c r="G98" s="397"/>
    </row>
    <row r="99" spans="1:7" ht="14" thickTop="1">
      <c r="G99" s="374" t="e">
        <f>Cover!$H$6</f>
        <v>#N/A</v>
      </c>
    </row>
  </sheetData>
  <sheetProtection password="CCBC" sheet="1"/>
  <phoneticPr fontId="0" type="noConversion"/>
  <printOptions horizontalCentered="1" verticalCentered="1"/>
  <pageMargins left="0.75" right="0.75" top="0.65" bottom="0.68" header="0.5" footer="0.5"/>
  <pageSetup scale="89" orientation="portrait" r:id="rId1"/>
  <headerFooter alignWithMargins="0"/>
  <rowBreaks count="1" manualBreakCount="1">
    <brk id="51" max="6" man="1"/>
  </row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dimension ref="A1:AT50"/>
  <sheetViews>
    <sheetView zoomScaleNormal="100" workbookViewId="0">
      <selection activeCell="L5" sqref="L5"/>
    </sheetView>
  </sheetViews>
  <sheetFormatPr baseColWidth="10" defaultColWidth="9.1640625" defaultRowHeight="13"/>
  <cols>
    <col min="1" max="1" width="1.6640625" style="1" customWidth="1"/>
    <col min="2" max="2" width="20.6640625" style="1" customWidth="1"/>
    <col min="3" max="3" width="12.6640625" style="1" customWidth="1"/>
    <col min="4" max="4" width="9.83203125" style="1" bestFit="1" customWidth="1"/>
    <col min="5" max="5" width="9.33203125" style="1" bestFit="1" customWidth="1"/>
    <col min="6" max="6" width="9.83203125" style="1" bestFit="1" customWidth="1"/>
    <col min="7" max="7" width="9.33203125" style="1" bestFit="1" customWidth="1"/>
    <col min="8" max="8" width="9.83203125" style="1" bestFit="1" customWidth="1"/>
    <col min="9" max="9" width="9.33203125" style="1" bestFit="1" customWidth="1"/>
    <col min="10" max="10" width="9.83203125" style="1" bestFit="1" customWidth="1"/>
    <col min="11" max="11" width="9.33203125" style="1" bestFit="1" customWidth="1"/>
    <col min="12" max="12" width="9.83203125" style="1" bestFit="1" customWidth="1"/>
    <col min="13" max="13" width="9.33203125" style="1" bestFit="1" customWidth="1"/>
    <col min="14" max="14" width="9.83203125" style="1" bestFit="1" customWidth="1"/>
    <col min="15" max="15" width="9.33203125" style="1" bestFit="1" customWidth="1"/>
    <col min="16" max="16384" width="9.1640625" style="1"/>
  </cols>
  <sheetData>
    <row r="1" spans="1:43" ht="14" thickBot="1">
      <c r="A1" s="389" t="s">
        <v>361</v>
      </c>
      <c r="D1" s="374" t="e">
        <f>Cover!$H$6</f>
        <v>#N/A</v>
      </c>
      <c r="O1" s="879">
        <f>+Name</f>
        <v>0</v>
      </c>
      <c r="Q1" s="374" t="e">
        <f>Cover!$H$6</f>
        <v>#N/A</v>
      </c>
      <c r="Z1" s="374" t="e">
        <f>Cover!$H$6</f>
        <v>#N/A</v>
      </c>
      <c r="AP1" s="374" t="e">
        <f>Cover!$H$6</f>
        <v>#N/A</v>
      </c>
    </row>
    <row r="2" spans="1:43" ht="15" thickTop="1" thickBot="1">
      <c r="A2" s="65"/>
      <c r="B2" s="65"/>
      <c r="D2" s="131">
        <v>1</v>
      </c>
      <c r="E2" s="131"/>
      <c r="F2" s="131">
        <f>D2+1</f>
        <v>2</v>
      </c>
      <c r="G2" s="131"/>
      <c r="H2" s="131">
        <f>F2+1</f>
        <v>3</v>
      </c>
      <c r="I2" s="131"/>
      <c r="J2" s="131">
        <f>H2+1</f>
        <v>4</v>
      </c>
      <c r="K2" s="131"/>
      <c r="L2" s="131">
        <f>J2+1</f>
        <v>5</v>
      </c>
      <c r="M2" s="131"/>
      <c r="N2" s="131">
        <f>L2+1</f>
        <v>6</v>
      </c>
      <c r="O2" s="131"/>
      <c r="P2" s="131">
        <f>N2+1</f>
        <v>7</v>
      </c>
      <c r="Q2" s="131"/>
      <c r="R2" s="131">
        <f>P2+1</f>
        <v>8</v>
      </c>
      <c r="S2" s="131"/>
      <c r="T2" s="131">
        <f>R2+1</f>
        <v>9</v>
      </c>
      <c r="U2" s="131"/>
      <c r="V2" s="131">
        <f>T2+1</f>
        <v>10</v>
      </c>
      <c r="W2" s="131"/>
      <c r="X2" s="131">
        <f>V2+1</f>
        <v>11</v>
      </c>
      <c r="Y2" s="131"/>
      <c r="Z2" s="131">
        <f>X2+1</f>
        <v>12</v>
      </c>
      <c r="AA2" s="131"/>
      <c r="AB2" s="131">
        <f>Z2+1</f>
        <v>13</v>
      </c>
      <c r="AC2" s="131"/>
      <c r="AD2" s="131">
        <f>AB2+1</f>
        <v>14</v>
      </c>
      <c r="AE2" s="131"/>
      <c r="AF2" s="131">
        <f>AD2+1</f>
        <v>15</v>
      </c>
      <c r="AG2" s="131"/>
      <c r="AH2" s="131">
        <f>AF2+1</f>
        <v>16</v>
      </c>
      <c r="AI2" s="131"/>
      <c r="AJ2" s="131">
        <f>AH2+1</f>
        <v>17</v>
      </c>
      <c r="AK2" s="131"/>
      <c r="AL2" s="131">
        <f>AJ2+1</f>
        <v>18</v>
      </c>
      <c r="AM2" s="131"/>
      <c r="AN2" s="131">
        <f>AL2+1</f>
        <v>19</v>
      </c>
      <c r="AO2" s="131"/>
      <c r="AP2" s="131">
        <f>AN2+1</f>
        <v>20</v>
      </c>
      <c r="AQ2" s="131"/>
    </row>
    <row r="3" spans="1:43" ht="15" thickTop="1" thickBot="1">
      <c r="A3" s="63"/>
      <c r="B3" s="66"/>
      <c r="D3" s="67" t="s">
        <v>1255</v>
      </c>
      <c r="E3" s="67" t="s">
        <v>1256</v>
      </c>
      <c r="F3" s="67" t="s">
        <v>1257</v>
      </c>
      <c r="G3" s="67" t="s">
        <v>1256</v>
      </c>
      <c r="H3" s="67" t="s">
        <v>1257</v>
      </c>
      <c r="I3" s="67" t="s">
        <v>1256</v>
      </c>
      <c r="J3" s="67" t="s">
        <v>1257</v>
      </c>
      <c r="K3" s="67" t="s">
        <v>1256</v>
      </c>
      <c r="L3" s="67" t="s">
        <v>1257</v>
      </c>
      <c r="M3" s="67" t="s">
        <v>1256</v>
      </c>
      <c r="N3" s="67" t="s">
        <v>1257</v>
      </c>
      <c r="O3" s="67" t="s">
        <v>1256</v>
      </c>
      <c r="P3" s="67" t="s">
        <v>1257</v>
      </c>
      <c r="Q3" s="67" t="s">
        <v>1256</v>
      </c>
      <c r="R3" s="67" t="s">
        <v>1257</v>
      </c>
      <c r="S3" s="67" t="s">
        <v>1256</v>
      </c>
      <c r="T3" s="67" t="s">
        <v>1257</v>
      </c>
      <c r="U3" s="67" t="s">
        <v>1256</v>
      </c>
      <c r="V3" s="67" t="s">
        <v>1257</v>
      </c>
      <c r="W3" s="67" t="s">
        <v>1256</v>
      </c>
      <c r="X3" s="67" t="s">
        <v>1257</v>
      </c>
      <c r="Y3" s="67" t="s">
        <v>1256</v>
      </c>
      <c r="Z3" s="67" t="s">
        <v>1257</v>
      </c>
      <c r="AA3" s="67" t="s">
        <v>1256</v>
      </c>
      <c r="AB3" s="67" t="s">
        <v>1257</v>
      </c>
      <c r="AC3" s="67" t="s">
        <v>1256</v>
      </c>
      <c r="AD3" s="67" t="s">
        <v>1257</v>
      </c>
      <c r="AE3" s="67" t="s">
        <v>1256</v>
      </c>
      <c r="AF3" s="67" t="s">
        <v>1257</v>
      </c>
      <c r="AG3" s="67" t="s">
        <v>1256</v>
      </c>
      <c r="AH3" s="67" t="s">
        <v>1257</v>
      </c>
      <c r="AI3" s="67" t="s">
        <v>1256</v>
      </c>
      <c r="AJ3" s="67" t="s">
        <v>1257</v>
      </c>
      <c r="AK3" s="67" t="s">
        <v>1256</v>
      </c>
      <c r="AL3" s="67" t="s">
        <v>1257</v>
      </c>
      <c r="AM3" s="67" t="s">
        <v>1256</v>
      </c>
      <c r="AN3" s="67" t="s">
        <v>1257</v>
      </c>
      <c r="AO3" s="67" t="s">
        <v>1256</v>
      </c>
      <c r="AP3" s="67" t="s">
        <v>1257</v>
      </c>
      <c r="AQ3" s="67" t="s">
        <v>1256</v>
      </c>
    </row>
    <row r="4" spans="1:43" ht="15" thickTop="1">
      <c r="A4" s="63"/>
      <c r="B4" s="68" t="s">
        <v>1258</v>
      </c>
      <c r="C4" s="69"/>
      <c r="D4" s="86"/>
      <c r="E4" s="87"/>
      <c r="F4" s="70"/>
      <c r="G4" s="71"/>
      <c r="H4" s="70"/>
      <c r="I4" s="71"/>
      <c r="J4" s="70"/>
      <c r="K4" s="71"/>
      <c r="L4" s="152"/>
      <c r="M4" s="71"/>
      <c r="N4" s="70"/>
      <c r="O4" s="71"/>
      <c r="P4" s="70"/>
      <c r="Q4" s="71"/>
      <c r="R4" s="70"/>
      <c r="S4" s="71"/>
      <c r="T4" s="70"/>
      <c r="U4" s="71"/>
      <c r="V4" s="70"/>
      <c r="W4" s="71"/>
      <c r="X4" s="152"/>
      <c r="Y4" s="71"/>
      <c r="Z4" s="70"/>
      <c r="AA4" s="71"/>
      <c r="AB4" s="70"/>
      <c r="AC4" s="71"/>
      <c r="AD4" s="70"/>
      <c r="AE4" s="71"/>
      <c r="AF4" s="70"/>
      <c r="AG4" s="71"/>
      <c r="AH4" s="70"/>
      <c r="AI4" s="71"/>
      <c r="AJ4" s="152"/>
      <c r="AK4" s="71"/>
      <c r="AL4" s="70"/>
      <c r="AM4" s="71"/>
      <c r="AN4" s="70"/>
      <c r="AO4" s="71"/>
      <c r="AP4" s="70"/>
      <c r="AQ4" s="71"/>
    </row>
    <row r="5" spans="1:43">
      <c r="A5" s="63"/>
      <c r="B5" s="72" t="s">
        <v>1222</v>
      </c>
      <c r="C5" s="73"/>
      <c r="D5" s="88" t="e">
        <f>+'Pro Forma Calculation'!F12</f>
        <v>#N/A</v>
      </c>
      <c r="E5" s="89" t="e">
        <f>IF(D5=0,0,D5/'Primary Input'!$J$21)</f>
        <v>#N/A</v>
      </c>
      <c r="F5" s="88" t="e">
        <f>+D5*(1+'Pro Forma Calculation'!$G$12)</f>
        <v>#N/A</v>
      </c>
      <c r="G5" s="89" t="e">
        <f>IF(F5=0,0,F5/'Primary Input'!$J$21)</f>
        <v>#N/A</v>
      </c>
      <c r="H5" s="88" t="e">
        <f>+F5*(1+'Pro Forma Calculation'!$G$12)</f>
        <v>#N/A</v>
      </c>
      <c r="I5" s="89" t="e">
        <f>IF(H5=0,0,H5/'Primary Input'!$J$21)</f>
        <v>#N/A</v>
      </c>
      <c r="J5" s="88" t="e">
        <f>+H5*(1+'Pro Forma Calculation'!$G$12)</f>
        <v>#N/A</v>
      </c>
      <c r="K5" s="89" t="e">
        <f>IF(J5=0,0,J5/'Primary Input'!$J$21)</f>
        <v>#N/A</v>
      </c>
      <c r="L5" s="91" t="e">
        <f>+J5*(1+'Pro Forma Calculation'!$G$12)</f>
        <v>#N/A</v>
      </c>
      <c r="M5" s="89" t="e">
        <f>IF(L5=0,0,L5/'Primary Input'!$J$21)</f>
        <v>#N/A</v>
      </c>
      <c r="N5" s="88" t="e">
        <f>+L5*(1+'Pro Forma Calculation'!$G$12)</f>
        <v>#N/A</v>
      </c>
      <c r="O5" s="89" t="e">
        <f>IF(N5=0,0,N5/'Primary Input'!$J$21)</f>
        <v>#N/A</v>
      </c>
      <c r="P5" s="88" t="e">
        <f>+N5*(1+'Pro Forma Calculation'!$G$12)</f>
        <v>#N/A</v>
      </c>
      <c r="Q5" s="89" t="e">
        <f>IF(P5=0,0,P5/'Primary Input'!$J$21)</f>
        <v>#N/A</v>
      </c>
      <c r="R5" s="88" t="e">
        <f>+P5*(1+'Pro Forma Calculation'!$G$12)</f>
        <v>#N/A</v>
      </c>
      <c r="S5" s="89" t="e">
        <f>IF(R5=0,0,R5/'Primary Input'!$J$21)</f>
        <v>#N/A</v>
      </c>
      <c r="T5" s="88" t="e">
        <f>+R5*(1+'Pro Forma Calculation'!$G$12)</f>
        <v>#N/A</v>
      </c>
      <c r="U5" s="89" t="e">
        <f>IF(T5=0,0,T5/'Primary Input'!$J$21)</f>
        <v>#N/A</v>
      </c>
      <c r="V5" s="88" t="e">
        <f>+T5*(1+'Pro Forma Calculation'!$G$12)</f>
        <v>#N/A</v>
      </c>
      <c r="W5" s="89" t="e">
        <f>IF(V5=0,0,V5/'Primary Input'!$J$21)</f>
        <v>#N/A</v>
      </c>
      <c r="X5" s="91" t="e">
        <f>+V5*(1+'Pro Forma Calculation'!$G$12)</f>
        <v>#N/A</v>
      </c>
      <c r="Y5" s="89" t="e">
        <f>IF(X5=0,0,X5/'Primary Input'!$J$21)</f>
        <v>#N/A</v>
      </c>
      <c r="Z5" s="88" t="e">
        <f>+X5*(1+'Pro Forma Calculation'!$G$12)</f>
        <v>#N/A</v>
      </c>
      <c r="AA5" s="89" t="e">
        <f>IF(Z5=0,0,Z5/'Primary Input'!$J$21)</f>
        <v>#N/A</v>
      </c>
      <c r="AB5" s="88" t="e">
        <f>+Z5*(1+'Pro Forma Calculation'!$G$12)</f>
        <v>#N/A</v>
      </c>
      <c r="AC5" s="89" t="e">
        <f>IF(AB5=0,0,AB5/'Primary Input'!$J$21)</f>
        <v>#N/A</v>
      </c>
      <c r="AD5" s="88" t="e">
        <f>+AB5*(1+'Pro Forma Calculation'!$G$12)</f>
        <v>#N/A</v>
      </c>
      <c r="AE5" s="89" t="e">
        <f>IF(AD5=0,0,AD5/'Primary Input'!$J$21)</f>
        <v>#N/A</v>
      </c>
      <c r="AF5" s="88" t="e">
        <f>+AD5*(1+'Pro Forma Calculation'!$G$12)</f>
        <v>#N/A</v>
      </c>
      <c r="AG5" s="89" t="e">
        <f>IF(AF5=0,0,AF5/'Primary Input'!$J$21)</f>
        <v>#N/A</v>
      </c>
      <c r="AH5" s="88" t="e">
        <f>+AF5*(1+'Pro Forma Calculation'!$G$12)</f>
        <v>#N/A</v>
      </c>
      <c r="AI5" s="89" t="e">
        <f>IF(AH5=0,0,AH5/'Primary Input'!$J$21)</f>
        <v>#N/A</v>
      </c>
      <c r="AJ5" s="91" t="e">
        <f>+AH5*(1+'Pro Forma Calculation'!$G$12)</f>
        <v>#N/A</v>
      </c>
      <c r="AK5" s="89" t="e">
        <f>IF(AJ5=0,0,AJ5/'Primary Input'!$J$21)</f>
        <v>#N/A</v>
      </c>
      <c r="AL5" s="88" t="e">
        <f>+AJ5*(1+'Pro Forma Calculation'!$G$12)</f>
        <v>#N/A</v>
      </c>
      <c r="AM5" s="89" t="e">
        <f>IF(AL5=0,0,AL5/'Primary Input'!$J$21)</f>
        <v>#N/A</v>
      </c>
      <c r="AN5" s="88" t="e">
        <f>+AL5*(1+'Pro Forma Calculation'!$G$12)</f>
        <v>#N/A</v>
      </c>
      <c r="AO5" s="89" t="e">
        <f>IF(AN5=0,0,AN5/'Primary Input'!$J$21)</f>
        <v>#N/A</v>
      </c>
      <c r="AP5" s="88" t="e">
        <f>+AN5*(1+'Pro Forma Calculation'!$G$12)</f>
        <v>#N/A</v>
      </c>
      <c r="AQ5" s="89" t="e">
        <f>IF(AP5=0,0,AP5/'Primary Input'!$J$21)</f>
        <v>#N/A</v>
      </c>
    </row>
    <row r="6" spans="1:43">
      <c r="A6" s="63"/>
      <c r="B6" s="72" t="s">
        <v>1223</v>
      </c>
      <c r="C6" s="73"/>
      <c r="D6" s="88" t="e">
        <f>+'Pro Forma Calculation'!F19</f>
        <v>#N/A</v>
      </c>
      <c r="E6" s="89" t="e">
        <f>IF(D6=0,0,D6/'Primary Input'!$J$21)</f>
        <v>#N/A</v>
      </c>
      <c r="F6" s="88" t="e">
        <f>+D6*(1+'Pro Forma Calculation'!$G$12)</f>
        <v>#N/A</v>
      </c>
      <c r="G6" s="89" t="e">
        <f>IF(F6=0,0,F6/'Primary Input'!$J$21)</f>
        <v>#N/A</v>
      </c>
      <c r="H6" s="88" t="e">
        <f>+F6*(1+'Pro Forma Calculation'!$G$12)</f>
        <v>#N/A</v>
      </c>
      <c r="I6" s="89" t="e">
        <f>IF(H6=0,0,H6/'Primary Input'!$J$21)</f>
        <v>#N/A</v>
      </c>
      <c r="J6" s="88" t="e">
        <f>+H6*(1+'Pro Forma Calculation'!$G$12)</f>
        <v>#N/A</v>
      </c>
      <c r="K6" s="89" t="e">
        <f>IF(J6=0,0,J6/'Primary Input'!$J$21)</f>
        <v>#N/A</v>
      </c>
      <c r="L6" s="91" t="e">
        <f>+J6*(1+'Pro Forma Calculation'!$G$12)</f>
        <v>#N/A</v>
      </c>
      <c r="M6" s="89" t="e">
        <f>IF(L6=0,0,L6/'Primary Input'!$J$21)</f>
        <v>#N/A</v>
      </c>
      <c r="N6" s="88" t="e">
        <f>+L6*(1+'Pro Forma Calculation'!$G$12)</f>
        <v>#N/A</v>
      </c>
      <c r="O6" s="89" t="e">
        <f>IF(N6=0,0,N6/'Primary Input'!$J$21)</f>
        <v>#N/A</v>
      </c>
      <c r="P6" s="88" t="e">
        <f>+N6*(1+'Pro Forma Calculation'!$G$12)</f>
        <v>#N/A</v>
      </c>
      <c r="Q6" s="89" t="e">
        <f>IF(P6=0,0,P6/'Primary Input'!$J$21)</f>
        <v>#N/A</v>
      </c>
      <c r="R6" s="88" t="e">
        <f>+P6*(1+'Pro Forma Calculation'!$G$12)</f>
        <v>#N/A</v>
      </c>
      <c r="S6" s="89" t="e">
        <f>IF(R6=0,0,R6/'Primary Input'!$J$21)</f>
        <v>#N/A</v>
      </c>
      <c r="T6" s="88" t="e">
        <f>+R6*(1+'Pro Forma Calculation'!$G$12)</f>
        <v>#N/A</v>
      </c>
      <c r="U6" s="89" t="e">
        <f>IF(T6=0,0,T6/'Primary Input'!$J$21)</f>
        <v>#N/A</v>
      </c>
      <c r="V6" s="88" t="e">
        <f>+T6*(1+'Pro Forma Calculation'!$G$12)</f>
        <v>#N/A</v>
      </c>
      <c r="W6" s="89" t="e">
        <f>IF(V6=0,0,V6/'Primary Input'!$J$21)</f>
        <v>#N/A</v>
      </c>
      <c r="X6" s="91" t="e">
        <f>+V6*(1+'Pro Forma Calculation'!$G$12)</f>
        <v>#N/A</v>
      </c>
      <c r="Y6" s="89" t="e">
        <f>IF(X6=0,0,X6/'Primary Input'!$J$21)</f>
        <v>#N/A</v>
      </c>
      <c r="Z6" s="88" t="e">
        <f>+X6*(1+'Pro Forma Calculation'!$G$12)</f>
        <v>#N/A</v>
      </c>
      <c r="AA6" s="89" t="e">
        <f>IF(Z6=0,0,Z6/'Primary Input'!$J$21)</f>
        <v>#N/A</v>
      </c>
      <c r="AB6" s="88" t="e">
        <f>+Z6*(1+'Pro Forma Calculation'!$G$12)</f>
        <v>#N/A</v>
      </c>
      <c r="AC6" s="89" t="e">
        <f>IF(AB6=0,0,AB6/'Primary Input'!$J$21)</f>
        <v>#N/A</v>
      </c>
      <c r="AD6" s="88" t="e">
        <f>+AB6*(1+'Pro Forma Calculation'!$G$12)</f>
        <v>#N/A</v>
      </c>
      <c r="AE6" s="89" t="e">
        <f>IF(AD6=0,0,AD6/'Primary Input'!$J$21)</f>
        <v>#N/A</v>
      </c>
      <c r="AF6" s="88" t="e">
        <f>+AD6*(1+'Pro Forma Calculation'!$G$12)</f>
        <v>#N/A</v>
      </c>
      <c r="AG6" s="89" t="e">
        <f>IF(AF6=0,0,AF6/'Primary Input'!$J$21)</f>
        <v>#N/A</v>
      </c>
      <c r="AH6" s="88" t="e">
        <f>+AF6*(1+'Pro Forma Calculation'!$G$12)</f>
        <v>#N/A</v>
      </c>
      <c r="AI6" s="89" t="e">
        <f>IF(AH6=0,0,AH6/'Primary Input'!$J$21)</f>
        <v>#N/A</v>
      </c>
      <c r="AJ6" s="91" t="e">
        <f>+AH6*(1+'Pro Forma Calculation'!$G$12)</f>
        <v>#N/A</v>
      </c>
      <c r="AK6" s="89" t="e">
        <f>IF(AJ6=0,0,AJ6/'Primary Input'!$J$21)</f>
        <v>#N/A</v>
      </c>
      <c r="AL6" s="88" t="e">
        <f>+AJ6*(1+'Pro Forma Calculation'!$G$12)</f>
        <v>#N/A</v>
      </c>
      <c r="AM6" s="89" t="e">
        <f>IF(AL6=0,0,AL6/'Primary Input'!$J$21)</f>
        <v>#N/A</v>
      </c>
      <c r="AN6" s="88" t="e">
        <f>+AL6*(1+'Pro Forma Calculation'!$G$12)</f>
        <v>#N/A</v>
      </c>
      <c r="AO6" s="89" t="e">
        <f>IF(AN6=0,0,AN6/'Primary Input'!$J$21)</f>
        <v>#N/A</v>
      </c>
      <c r="AP6" s="88" t="e">
        <f>+AN6*(1+'Pro Forma Calculation'!$G$12)</f>
        <v>#N/A</v>
      </c>
      <c r="AQ6" s="89" t="e">
        <f>IF(AP6=0,0,AP6/'Primary Input'!$J$21)</f>
        <v>#N/A</v>
      </c>
    </row>
    <row r="7" spans="1:43">
      <c r="A7" s="63"/>
      <c r="B7" s="72" t="s">
        <v>1224</v>
      </c>
      <c r="C7" s="73"/>
      <c r="D7" s="88">
        <f>+'Pro Forma Calculation'!F27</f>
        <v>0</v>
      </c>
      <c r="E7" s="89">
        <f>IF(D7=0,0,D7/'Primary Input'!$J$21)</f>
        <v>0</v>
      </c>
      <c r="F7" s="88">
        <f>+D7*(1+'Pro Forma Calculation'!$G$27)</f>
        <v>0</v>
      </c>
      <c r="G7" s="89">
        <f>IF(F7=0,0,F7/'Primary Input'!$J$21)</f>
        <v>0</v>
      </c>
      <c r="H7" s="88">
        <f>+F7*(1+'Pro Forma Calculation'!$G$27)</f>
        <v>0</v>
      </c>
      <c r="I7" s="89">
        <f>IF(H7=0,0,H7/'Primary Input'!$J$21)</f>
        <v>0</v>
      </c>
      <c r="J7" s="88">
        <f>+H7*(1+'Pro Forma Calculation'!$G$27)</f>
        <v>0</v>
      </c>
      <c r="K7" s="89">
        <f>IF(J7=0,0,J7/'Primary Input'!$J$21)</f>
        <v>0</v>
      </c>
      <c r="L7" s="91">
        <f>+J7*(1+'Pro Forma Calculation'!$G$27)</f>
        <v>0</v>
      </c>
      <c r="M7" s="89">
        <f>IF(L7=0,0,L7/'Primary Input'!$J$21)</f>
        <v>0</v>
      </c>
      <c r="N7" s="88">
        <f>+L7*(1+'Pro Forma Calculation'!$G$27)</f>
        <v>0</v>
      </c>
      <c r="O7" s="89">
        <f>IF(N7=0,0,N7/'Primary Input'!$J$21)</f>
        <v>0</v>
      </c>
      <c r="P7" s="88">
        <f>+N7*(1+'Pro Forma Calculation'!$G$27)</f>
        <v>0</v>
      </c>
      <c r="Q7" s="89">
        <f>IF(P7=0,0,P7/'Primary Input'!$J$21)</f>
        <v>0</v>
      </c>
      <c r="R7" s="88">
        <f>+P7*(1+'Pro Forma Calculation'!$G$27)</f>
        <v>0</v>
      </c>
      <c r="S7" s="89">
        <f>IF(R7=0,0,R7/'Primary Input'!$J$21)</f>
        <v>0</v>
      </c>
      <c r="T7" s="88">
        <f>+R7*(1+'Pro Forma Calculation'!$G$27)</f>
        <v>0</v>
      </c>
      <c r="U7" s="89">
        <f>IF(T7=0,0,T7/'Primary Input'!$J$21)</f>
        <v>0</v>
      </c>
      <c r="V7" s="88">
        <f>+T7*(1+'Pro Forma Calculation'!$G$27)</f>
        <v>0</v>
      </c>
      <c r="W7" s="89">
        <f>IF(V7=0,0,V7/'Primary Input'!$J$21)</f>
        <v>0</v>
      </c>
      <c r="X7" s="91">
        <f>+V7*(1+'Pro Forma Calculation'!$G$27)</f>
        <v>0</v>
      </c>
      <c r="Y7" s="89">
        <f>IF(X7=0,0,X7/'Primary Input'!$J$21)</f>
        <v>0</v>
      </c>
      <c r="Z7" s="88">
        <f>+X7*(1+'Pro Forma Calculation'!$G$27)</f>
        <v>0</v>
      </c>
      <c r="AA7" s="89">
        <f>IF(Z7=0,0,Z7/'Primary Input'!$J$21)</f>
        <v>0</v>
      </c>
      <c r="AB7" s="88">
        <f>+Z7*(1+'Pro Forma Calculation'!$G$27)</f>
        <v>0</v>
      </c>
      <c r="AC7" s="89">
        <f>IF(AB7=0,0,AB7/'Primary Input'!$J$21)</f>
        <v>0</v>
      </c>
      <c r="AD7" s="88">
        <f>+AB7*(1+'Pro Forma Calculation'!$G$27)</f>
        <v>0</v>
      </c>
      <c r="AE7" s="89">
        <f>IF(AD7=0,0,AD7/'Primary Input'!$J$21)</f>
        <v>0</v>
      </c>
      <c r="AF7" s="88">
        <f>+AD7*(1+'Pro Forma Calculation'!$G$27)</f>
        <v>0</v>
      </c>
      <c r="AG7" s="89">
        <f>IF(AF7=0,0,AF7/'Primary Input'!$J$21)</f>
        <v>0</v>
      </c>
      <c r="AH7" s="88">
        <f>+AF7*(1+'Pro Forma Calculation'!$G$27)</f>
        <v>0</v>
      </c>
      <c r="AI7" s="89">
        <f>IF(AH7=0,0,AH7/'Primary Input'!$J$21)</f>
        <v>0</v>
      </c>
      <c r="AJ7" s="91">
        <f>+AH7*(1+'Pro Forma Calculation'!$G$27)</f>
        <v>0</v>
      </c>
      <c r="AK7" s="89">
        <f>IF(AJ7=0,0,AJ7/'Primary Input'!$J$21)</f>
        <v>0</v>
      </c>
      <c r="AL7" s="88">
        <f>+AJ7*(1+'Pro Forma Calculation'!$G$27)</f>
        <v>0</v>
      </c>
      <c r="AM7" s="89">
        <f>IF(AL7=0,0,AL7/'Primary Input'!$J$21)</f>
        <v>0</v>
      </c>
      <c r="AN7" s="88">
        <f>+AL7*(1+'Pro Forma Calculation'!$G$27)</f>
        <v>0</v>
      </c>
      <c r="AO7" s="89">
        <f>IF(AN7=0,0,AN7/'Primary Input'!$J$21)</f>
        <v>0</v>
      </c>
      <c r="AP7" s="88">
        <f>+AN7*(1+'Pro Forma Calculation'!$G$27)</f>
        <v>0</v>
      </c>
      <c r="AQ7" s="89">
        <f>IF(AP7=0,0,AP7/'Primary Input'!$J$21)</f>
        <v>0</v>
      </c>
    </row>
    <row r="8" spans="1:43">
      <c r="A8" s="63"/>
      <c r="B8" s="72"/>
      <c r="C8" s="73"/>
      <c r="D8" s="88"/>
      <c r="E8" s="89"/>
      <c r="F8" s="88"/>
      <c r="G8" s="89"/>
      <c r="H8" s="88"/>
      <c r="I8" s="89"/>
      <c r="J8" s="88"/>
      <c r="K8" s="89"/>
      <c r="L8" s="91"/>
      <c r="M8" s="89"/>
      <c r="N8" s="88"/>
      <c r="O8" s="89"/>
      <c r="P8" s="88"/>
      <c r="Q8" s="89"/>
      <c r="R8" s="88"/>
      <c r="S8" s="89"/>
      <c r="T8" s="88"/>
      <c r="U8" s="89"/>
      <c r="V8" s="88"/>
      <c r="W8" s="89"/>
      <c r="X8" s="91"/>
      <c r="Y8" s="89"/>
      <c r="Z8" s="88"/>
      <c r="AA8" s="89"/>
      <c r="AB8" s="88"/>
      <c r="AC8" s="89"/>
      <c r="AD8" s="88"/>
      <c r="AE8" s="89"/>
      <c r="AF8" s="88"/>
      <c r="AG8" s="89"/>
      <c r="AH8" s="88"/>
      <c r="AI8" s="89"/>
      <c r="AJ8" s="91"/>
      <c r="AK8" s="89"/>
      <c r="AL8" s="88"/>
      <c r="AM8" s="89"/>
      <c r="AN8" s="88"/>
      <c r="AO8" s="89"/>
      <c r="AP8" s="88"/>
      <c r="AQ8" s="89"/>
    </row>
    <row r="9" spans="1:43" ht="14">
      <c r="A9" s="74"/>
      <c r="B9" s="75" t="s">
        <v>1259</v>
      </c>
      <c r="C9" s="76"/>
      <c r="D9" s="90" t="e">
        <f>SUM(D5:D7)</f>
        <v>#N/A</v>
      </c>
      <c r="E9" s="89" t="e">
        <f>IF(D9=0,0,D9/'Primary Input'!$J$21)</f>
        <v>#N/A</v>
      </c>
      <c r="F9" s="92" t="e">
        <f>SUM(F5:F7)</f>
        <v>#N/A</v>
      </c>
      <c r="G9" s="89" t="e">
        <f>IF(F9=0,0,F9/'Primary Input'!$J$21)</f>
        <v>#N/A</v>
      </c>
      <c r="H9" s="92" t="e">
        <f>SUM(H5:H7)</f>
        <v>#N/A</v>
      </c>
      <c r="I9" s="89" t="e">
        <f>IF(H9=0,0,H9/'Primary Input'!$J$21)</f>
        <v>#N/A</v>
      </c>
      <c r="J9" s="92" t="e">
        <f>SUM(J5:J7)</f>
        <v>#N/A</v>
      </c>
      <c r="K9" s="89" t="e">
        <f>IF(J9=0,0,J9/'Primary Input'!$J$21)</f>
        <v>#N/A</v>
      </c>
      <c r="L9" s="92" t="e">
        <f>SUM(L5:L7)</f>
        <v>#N/A</v>
      </c>
      <c r="M9" s="89" t="e">
        <f>IF(L9=0,0,L9/'Primary Input'!$J$21)</f>
        <v>#N/A</v>
      </c>
      <c r="N9" s="92" t="e">
        <f>SUM(N5:N7)</f>
        <v>#N/A</v>
      </c>
      <c r="O9" s="89" t="e">
        <f>IF(N9=0,0,N9/'Primary Input'!$J$21)</f>
        <v>#N/A</v>
      </c>
      <c r="P9" s="92" t="e">
        <f>SUM(P5:P7)</f>
        <v>#N/A</v>
      </c>
      <c r="Q9" s="89" t="e">
        <f>IF(P9=0,0,P9/'Primary Input'!$J$21)</f>
        <v>#N/A</v>
      </c>
      <c r="R9" s="92" t="e">
        <f>SUM(R5:R7)</f>
        <v>#N/A</v>
      </c>
      <c r="S9" s="89" t="e">
        <f>IF(R9=0,0,R9/'Primary Input'!$J$21)</f>
        <v>#N/A</v>
      </c>
      <c r="T9" s="92" t="e">
        <f>SUM(T5:T7)</f>
        <v>#N/A</v>
      </c>
      <c r="U9" s="89" t="e">
        <f>IF(T9=0,0,T9/'Primary Input'!$J$21)</f>
        <v>#N/A</v>
      </c>
      <c r="V9" s="92" t="e">
        <f>SUM(V5:V7)</f>
        <v>#N/A</v>
      </c>
      <c r="W9" s="89" t="e">
        <f>IF(V9=0,0,V9/'Primary Input'!$J$21)</f>
        <v>#N/A</v>
      </c>
      <c r="X9" s="92" t="e">
        <f>SUM(X5:X7)</f>
        <v>#N/A</v>
      </c>
      <c r="Y9" s="89" t="e">
        <f>IF(X9=0,0,X9/'Primary Input'!$J$21)</f>
        <v>#N/A</v>
      </c>
      <c r="Z9" s="92" t="e">
        <f>SUM(Z5:Z7)</f>
        <v>#N/A</v>
      </c>
      <c r="AA9" s="89" t="e">
        <f>IF(Z9=0,0,Z9/'Primary Input'!$J$21)</f>
        <v>#N/A</v>
      </c>
      <c r="AB9" s="92" t="e">
        <f>SUM(AB5:AB7)</f>
        <v>#N/A</v>
      </c>
      <c r="AC9" s="89" t="e">
        <f>IF(AB9=0,0,AB9/'Primary Input'!$J$21)</f>
        <v>#N/A</v>
      </c>
      <c r="AD9" s="92" t="e">
        <f>SUM(AD5:AD7)</f>
        <v>#N/A</v>
      </c>
      <c r="AE9" s="89" t="e">
        <f>IF(AD9=0,0,AD9/'Primary Input'!$J$21)</f>
        <v>#N/A</v>
      </c>
      <c r="AF9" s="92" t="e">
        <f>SUM(AF5:AF7)</f>
        <v>#N/A</v>
      </c>
      <c r="AG9" s="89" t="e">
        <f>IF(AF9=0,0,AF9/'Primary Input'!$J$21)</f>
        <v>#N/A</v>
      </c>
      <c r="AH9" s="92" t="e">
        <f>SUM(AH5:AH7)</f>
        <v>#N/A</v>
      </c>
      <c r="AI9" s="89" t="e">
        <f>IF(AH9=0,0,AH9/'Primary Input'!$J$21)</f>
        <v>#N/A</v>
      </c>
      <c r="AJ9" s="92" t="e">
        <f>SUM(AJ5:AJ7)</f>
        <v>#N/A</v>
      </c>
      <c r="AK9" s="89" t="e">
        <f>IF(AJ9=0,0,AJ9/'Primary Input'!$J$21)</f>
        <v>#N/A</v>
      </c>
      <c r="AL9" s="92" t="e">
        <f>SUM(AL5:AL7)</f>
        <v>#N/A</v>
      </c>
      <c r="AM9" s="89" t="e">
        <f>IF(AL9=0,0,AL9/'Primary Input'!$J$21)</f>
        <v>#N/A</v>
      </c>
      <c r="AN9" s="92" t="e">
        <f>SUM(AN5:AN7)</f>
        <v>#N/A</v>
      </c>
      <c r="AO9" s="89" t="e">
        <f>IF(AN9=0,0,AN9/'Primary Input'!$J$21)</f>
        <v>#N/A</v>
      </c>
      <c r="AP9" s="92" t="e">
        <f>SUM(AP5:AP7)</f>
        <v>#N/A</v>
      </c>
      <c r="AQ9" s="89" t="e">
        <f>IF(AP9=0,0,AP9/'Primary Input'!$J$21)</f>
        <v>#N/A</v>
      </c>
    </row>
    <row r="10" spans="1:43">
      <c r="A10" s="63"/>
      <c r="B10" s="72"/>
      <c r="C10" s="73"/>
      <c r="D10" s="88"/>
      <c r="E10" s="89"/>
      <c r="F10" s="88"/>
      <c r="G10" s="89"/>
      <c r="H10" s="88"/>
      <c r="I10" s="89"/>
      <c r="J10" s="88"/>
      <c r="K10" s="89"/>
      <c r="L10" s="91"/>
      <c r="M10" s="89"/>
      <c r="N10" s="88"/>
      <c r="O10" s="89"/>
      <c r="P10" s="88"/>
      <c r="Q10" s="89"/>
      <c r="R10" s="88"/>
      <c r="S10" s="89"/>
      <c r="T10" s="88"/>
      <c r="U10" s="89"/>
      <c r="V10" s="88"/>
      <c r="W10" s="89"/>
      <c r="X10" s="91"/>
      <c r="Y10" s="89"/>
      <c r="Z10" s="88"/>
      <c r="AA10" s="89"/>
      <c r="AB10" s="88"/>
      <c r="AC10" s="89"/>
      <c r="AD10" s="88"/>
      <c r="AE10" s="89"/>
      <c r="AF10" s="88"/>
      <c r="AG10" s="89"/>
      <c r="AH10" s="88"/>
      <c r="AI10" s="89"/>
      <c r="AJ10" s="91"/>
      <c r="AK10" s="89"/>
      <c r="AL10" s="88"/>
      <c r="AM10" s="89"/>
      <c r="AN10" s="88"/>
      <c r="AO10" s="89"/>
      <c r="AP10" s="88"/>
      <c r="AQ10" s="89"/>
    </row>
    <row r="11" spans="1:43" ht="14">
      <c r="A11" s="63"/>
      <c r="B11" s="77" t="s">
        <v>1260</v>
      </c>
      <c r="C11" s="73"/>
      <c r="D11" s="88"/>
      <c r="E11" s="89"/>
      <c r="F11" s="88"/>
      <c r="G11" s="89"/>
      <c r="H11" s="88"/>
      <c r="I11" s="89"/>
      <c r="J11" s="88"/>
      <c r="K11" s="89"/>
      <c r="L11" s="91"/>
      <c r="M11" s="89"/>
      <c r="N11" s="88"/>
      <c r="O11" s="89"/>
      <c r="P11" s="88"/>
      <c r="Q11" s="89"/>
      <c r="R11" s="88"/>
      <c r="S11" s="89"/>
      <c r="T11" s="88"/>
      <c r="U11" s="89"/>
      <c r="V11" s="88"/>
      <c r="W11" s="89"/>
      <c r="X11" s="91"/>
      <c r="Y11" s="89"/>
      <c r="Z11" s="88"/>
      <c r="AA11" s="89"/>
      <c r="AB11" s="88"/>
      <c r="AC11" s="89"/>
      <c r="AD11" s="88"/>
      <c r="AE11" s="89"/>
      <c r="AF11" s="88"/>
      <c r="AG11" s="89"/>
      <c r="AH11" s="88"/>
      <c r="AI11" s="89"/>
      <c r="AJ11" s="91"/>
      <c r="AK11" s="89"/>
      <c r="AL11" s="88"/>
      <c r="AM11" s="89"/>
      <c r="AN11" s="88"/>
      <c r="AO11" s="89"/>
      <c r="AP11" s="88"/>
      <c r="AQ11" s="89"/>
    </row>
    <row r="12" spans="1:43">
      <c r="A12" s="63"/>
      <c r="B12" s="78" t="s">
        <v>160</v>
      </c>
      <c r="C12" s="73"/>
      <c r="D12" s="88">
        <f>+'Pro Forma Calculation'!F35</f>
        <v>0</v>
      </c>
      <c r="E12" s="89">
        <f>IF(D12=0,0,D12/'Primary Input'!$J$21)</f>
        <v>0</v>
      </c>
      <c r="F12" s="88">
        <f>+D12*(1+'Pro Forma Calculation'!$G$35)</f>
        <v>0</v>
      </c>
      <c r="G12" s="89">
        <f>IF(F12=0,0,F12/'Primary Input'!$J$21)</f>
        <v>0</v>
      </c>
      <c r="H12" s="88">
        <f>+F12*(1+'Pro Forma Calculation'!$G$35)</f>
        <v>0</v>
      </c>
      <c r="I12" s="89">
        <f>IF(H12=0,0,H12/'Primary Input'!$J$21)</f>
        <v>0</v>
      </c>
      <c r="J12" s="88">
        <f>+H12*(1+'Pro Forma Calculation'!$G$35)</f>
        <v>0</v>
      </c>
      <c r="K12" s="89">
        <f>IF(J12=0,0,J12/'Primary Input'!$J$21)</f>
        <v>0</v>
      </c>
      <c r="L12" s="91">
        <f>+J12*(1+'Pro Forma Calculation'!$G$35)</f>
        <v>0</v>
      </c>
      <c r="M12" s="89">
        <f>IF(L12=0,0,L12/'Primary Input'!$J$21)</f>
        <v>0</v>
      </c>
      <c r="N12" s="88">
        <f>+L12*(1+'Pro Forma Calculation'!$G$35)</f>
        <v>0</v>
      </c>
      <c r="O12" s="89">
        <f>IF(N12=0,0,N12/'Primary Input'!$J$21)</f>
        <v>0</v>
      </c>
      <c r="P12" s="88">
        <f>+N12*(1+'Pro Forma Calculation'!$G$35)</f>
        <v>0</v>
      </c>
      <c r="Q12" s="89">
        <f>IF(P12=0,0,P12/'Primary Input'!$J$21)</f>
        <v>0</v>
      </c>
      <c r="R12" s="88">
        <f>+P12*(1+'Pro Forma Calculation'!$G$35)</f>
        <v>0</v>
      </c>
      <c r="S12" s="89">
        <f>IF(R12=0,0,R12/'Primary Input'!$J$21)</f>
        <v>0</v>
      </c>
      <c r="T12" s="88">
        <f>+R12*(1+'Pro Forma Calculation'!$G$35)</f>
        <v>0</v>
      </c>
      <c r="U12" s="89">
        <f>IF(T12=0,0,T12/'Primary Input'!$J$21)</f>
        <v>0</v>
      </c>
      <c r="V12" s="88">
        <f>+T12*(1+'Pro Forma Calculation'!$G$35)</f>
        <v>0</v>
      </c>
      <c r="W12" s="89">
        <f>IF(V12=0,0,V12/'Primary Input'!$J$21)</f>
        <v>0</v>
      </c>
      <c r="X12" s="91">
        <f>+V12*(1+'Pro Forma Calculation'!$G$35)</f>
        <v>0</v>
      </c>
      <c r="Y12" s="89">
        <f>IF(X12=0,0,X12/'Primary Input'!$J$21)</f>
        <v>0</v>
      </c>
      <c r="Z12" s="88">
        <f>+X12*(1+'Pro Forma Calculation'!$G$35)</f>
        <v>0</v>
      </c>
      <c r="AA12" s="89">
        <f>IF(Z12=0,0,Z12/'Primary Input'!$J$21)</f>
        <v>0</v>
      </c>
      <c r="AB12" s="88">
        <f>+Z12*(1+'Pro Forma Calculation'!$G$35)</f>
        <v>0</v>
      </c>
      <c r="AC12" s="89">
        <f>IF(AB12=0,0,AB12/'Primary Input'!$J$21)</f>
        <v>0</v>
      </c>
      <c r="AD12" s="88">
        <f>+AB12*(1+'Pro Forma Calculation'!$G$35)</f>
        <v>0</v>
      </c>
      <c r="AE12" s="89">
        <f>IF(AD12=0,0,AD12/'Primary Input'!$J$21)</f>
        <v>0</v>
      </c>
      <c r="AF12" s="88">
        <f>+AD12*(1+'Pro Forma Calculation'!$G$35)</f>
        <v>0</v>
      </c>
      <c r="AG12" s="89">
        <f>IF(AF12=0,0,AF12/'Primary Input'!$J$21)</f>
        <v>0</v>
      </c>
      <c r="AH12" s="88">
        <f>+AF12*(1+'Pro Forma Calculation'!$G$35)</f>
        <v>0</v>
      </c>
      <c r="AI12" s="89">
        <f>IF(AH12=0,0,AH12/'Primary Input'!$J$21)</f>
        <v>0</v>
      </c>
      <c r="AJ12" s="91">
        <f>+AH12*(1+'Pro Forma Calculation'!$G$35)</f>
        <v>0</v>
      </c>
      <c r="AK12" s="89">
        <f>IF(AJ12=0,0,AJ12/'Primary Input'!$J$21)</f>
        <v>0</v>
      </c>
      <c r="AL12" s="88">
        <f>+AJ12*(1+'Pro Forma Calculation'!$G$35)</f>
        <v>0</v>
      </c>
      <c r="AM12" s="89">
        <f>IF(AL12=0,0,AL12/'Primary Input'!$J$21)</f>
        <v>0</v>
      </c>
      <c r="AN12" s="88">
        <f>+AL12*(1+'Pro Forma Calculation'!$G$35)</f>
        <v>0</v>
      </c>
      <c r="AO12" s="89">
        <f>IF(AN12=0,0,AN12/'Primary Input'!$J$21)</f>
        <v>0</v>
      </c>
      <c r="AP12" s="88">
        <f>+AN12*(1+'Pro Forma Calculation'!$G$35)</f>
        <v>0</v>
      </c>
      <c r="AQ12" s="89">
        <f>IF(AP12=0,0,AP12/'Primary Input'!$J$21)</f>
        <v>0</v>
      </c>
    </row>
    <row r="13" spans="1:43">
      <c r="A13" s="63"/>
      <c r="B13" s="72" t="s">
        <v>691</v>
      </c>
      <c r="C13" s="73"/>
      <c r="D13" s="91">
        <f>+'Pro Forma Calculation'!F42</f>
        <v>0</v>
      </c>
      <c r="E13" s="89">
        <f>IF(D13=0,0,D13/'Primary Input'!$J$21)</f>
        <v>0</v>
      </c>
      <c r="F13" s="88">
        <f>+D13*(1+'Pro Forma Calculation'!$G$42)</f>
        <v>0</v>
      </c>
      <c r="G13" s="89">
        <f>IF(F13=0,0,F13/'Primary Input'!$J$21)</f>
        <v>0</v>
      </c>
      <c r="H13" s="88">
        <f>+F13*(1+'Pro Forma Calculation'!$G$42)</f>
        <v>0</v>
      </c>
      <c r="I13" s="89">
        <f>IF(H13=0,0,H13/'Primary Input'!$J$21)</f>
        <v>0</v>
      </c>
      <c r="J13" s="88">
        <f>+H13*(1+'Pro Forma Calculation'!$G$42)</f>
        <v>0</v>
      </c>
      <c r="K13" s="89">
        <f>IF(J13=0,0,J13/'Primary Input'!$J$21)</f>
        <v>0</v>
      </c>
      <c r="L13" s="91">
        <f>+J13*(1+'Pro Forma Calculation'!$G$42)</f>
        <v>0</v>
      </c>
      <c r="M13" s="89">
        <f>IF(L13=0,0,L13/'Primary Input'!$J$21)</f>
        <v>0</v>
      </c>
      <c r="N13" s="88">
        <f>+L13*(1+'Pro Forma Calculation'!$G$42)</f>
        <v>0</v>
      </c>
      <c r="O13" s="89">
        <f>IF(N13=0,0,N13/'Primary Input'!$J$21)</f>
        <v>0</v>
      </c>
      <c r="P13" s="88">
        <f>+N13*(1+'Pro Forma Calculation'!$G$42)</f>
        <v>0</v>
      </c>
      <c r="Q13" s="89">
        <f>IF(P13=0,0,P13/'Primary Input'!$J$21)</f>
        <v>0</v>
      </c>
      <c r="R13" s="88">
        <f>+P13*(1+'Pro Forma Calculation'!$G$42)</f>
        <v>0</v>
      </c>
      <c r="S13" s="89">
        <f>IF(R13=0,0,R13/'Primary Input'!$J$21)</f>
        <v>0</v>
      </c>
      <c r="T13" s="88">
        <f>+R13*(1+'Pro Forma Calculation'!$G$42)</f>
        <v>0</v>
      </c>
      <c r="U13" s="89">
        <f>IF(T13=0,0,T13/'Primary Input'!$J$21)</f>
        <v>0</v>
      </c>
      <c r="V13" s="88">
        <f>+T13*(1+'Pro Forma Calculation'!$G$42)</f>
        <v>0</v>
      </c>
      <c r="W13" s="89">
        <f>IF(V13=0,0,V13/'Primary Input'!$J$21)</f>
        <v>0</v>
      </c>
      <c r="X13" s="91">
        <f>+V13*(1+'Pro Forma Calculation'!$G$42)</f>
        <v>0</v>
      </c>
      <c r="Y13" s="89">
        <f>IF(X13=0,0,X13/'Primary Input'!$J$21)</f>
        <v>0</v>
      </c>
      <c r="Z13" s="88">
        <f>+X13*(1+'Pro Forma Calculation'!$G$42)</f>
        <v>0</v>
      </c>
      <c r="AA13" s="89">
        <f>IF(Z13=0,0,Z13/'Primary Input'!$J$21)</f>
        <v>0</v>
      </c>
      <c r="AB13" s="88">
        <f>+Z13*(1+'Pro Forma Calculation'!$G$42)</f>
        <v>0</v>
      </c>
      <c r="AC13" s="89">
        <f>IF(AB13=0,0,AB13/'Primary Input'!$J$21)</f>
        <v>0</v>
      </c>
      <c r="AD13" s="88">
        <f>+AB13*(1+'Pro Forma Calculation'!$G$42)</f>
        <v>0</v>
      </c>
      <c r="AE13" s="89">
        <f>IF(AD13=0,0,AD13/'Primary Input'!$J$21)</f>
        <v>0</v>
      </c>
      <c r="AF13" s="88">
        <f>+AD13*(1+'Pro Forma Calculation'!$G$42)</f>
        <v>0</v>
      </c>
      <c r="AG13" s="89">
        <f>IF(AF13=0,0,AF13/'Primary Input'!$J$21)</f>
        <v>0</v>
      </c>
      <c r="AH13" s="88">
        <f>+AF13*(1+'Pro Forma Calculation'!$G$42)</f>
        <v>0</v>
      </c>
      <c r="AI13" s="89">
        <f>IF(AH13=0,0,AH13/'Primary Input'!$J$21)</f>
        <v>0</v>
      </c>
      <c r="AJ13" s="91">
        <f>+AH13*(1+'Pro Forma Calculation'!$G$42)</f>
        <v>0</v>
      </c>
      <c r="AK13" s="89">
        <f>IF(AJ13=0,0,AJ13/'Primary Input'!$J$21)</f>
        <v>0</v>
      </c>
      <c r="AL13" s="88">
        <f>+AJ13*(1+'Pro Forma Calculation'!$G$42)</f>
        <v>0</v>
      </c>
      <c r="AM13" s="89">
        <f>IF(AL13=0,0,AL13/'Primary Input'!$J$21)</f>
        <v>0</v>
      </c>
      <c r="AN13" s="88">
        <f>+AL13*(1+'Pro Forma Calculation'!$G$42)</f>
        <v>0</v>
      </c>
      <c r="AO13" s="89">
        <f>IF(AN13=0,0,AN13/'Primary Input'!$J$21)</f>
        <v>0</v>
      </c>
      <c r="AP13" s="88">
        <f>+AN13*(1+'Pro Forma Calculation'!$G$42)</f>
        <v>0</v>
      </c>
      <c r="AQ13" s="89">
        <f>IF(AP13=0,0,AP13/'Primary Input'!$J$21)</f>
        <v>0</v>
      </c>
    </row>
    <row r="14" spans="1:43">
      <c r="A14" s="63"/>
      <c r="B14" s="78" t="s">
        <v>957</v>
      </c>
      <c r="C14" s="73"/>
      <c r="D14" s="88">
        <f>+'Pro Forma Calculation'!F51</f>
        <v>0</v>
      </c>
      <c r="E14" s="89">
        <f>IF(D14=0,0,D14/'Primary Input'!$J$21)</f>
        <v>0</v>
      </c>
      <c r="F14" s="88">
        <f>+D14*(1+'Pro Forma Calculation'!$G$51)</f>
        <v>0</v>
      </c>
      <c r="G14" s="89">
        <f>IF(F14=0,0,F14/'Primary Input'!$J$21)</f>
        <v>0</v>
      </c>
      <c r="H14" s="88">
        <f>+F14*(1+'Pro Forma Calculation'!$G$51)</f>
        <v>0</v>
      </c>
      <c r="I14" s="89">
        <f>IF(H14=0,0,H14/'Primary Input'!$J$21)</f>
        <v>0</v>
      </c>
      <c r="J14" s="88">
        <f>+H14*(1+'Pro Forma Calculation'!$G$51)</f>
        <v>0</v>
      </c>
      <c r="K14" s="89">
        <f>IF(J14=0,0,J14/'Primary Input'!$J$21)</f>
        <v>0</v>
      </c>
      <c r="L14" s="91">
        <f>+J14*(1+'Pro Forma Calculation'!$G$51)</f>
        <v>0</v>
      </c>
      <c r="M14" s="89">
        <f>IF(L14=0,0,L14/'Primary Input'!$J$21)</f>
        <v>0</v>
      </c>
      <c r="N14" s="88">
        <f>+L14*(1+'Pro Forma Calculation'!$G$51)</f>
        <v>0</v>
      </c>
      <c r="O14" s="89">
        <f>IF(N14=0,0,N14/'Primary Input'!$J$21)</f>
        <v>0</v>
      </c>
      <c r="P14" s="88">
        <f>+N14*(1+'Pro Forma Calculation'!$G$51)</f>
        <v>0</v>
      </c>
      <c r="Q14" s="89">
        <f>IF(P14=0,0,P14/'Primary Input'!$J$21)</f>
        <v>0</v>
      </c>
      <c r="R14" s="88">
        <f>+P14*(1+'Pro Forma Calculation'!$G$51)</f>
        <v>0</v>
      </c>
      <c r="S14" s="89">
        <f>IF(R14=0,0,R14/'Primary Input'!$J$21)</f>
        <v>0</v>
      </c>
      <c r="T14" s="88">
        <f>+R14*(1+'Pro Forma Calculation'!$G$51)</f>
        <v>0</v>
      </c>
      <c r="U14" s="89">
        <f>IF(T14=0,0,T14/'Primary Input'!$J$21)</f>
        <v>0</v>
      </c>
      <c r="V14" s="88">
        <f>+T14*(1+'Pro Forma Calculation'!$G$51)</f>
        <v>0</v>
      </c>
      <c r="W14" s="89">
        <f>IF(V14=0,0,V14/'Primary Input'!$J$21)</f>
        <v>0</v>
      </c>
      <c r="X14" s="91">
        <f>+V14*(1+'Pro Forma Calculation'!$G$51)</f>
        <v>0</v>
      </c>
      <c r="Y14" s="89">
        <f>IF(X14=0,0,X14/'Primary Input'!$J$21)</f>
        <v>0</v>
      </c>
      <c r="Z14" s="88">
        <f>+X14*(1+'Pro Forma Calculation'!$G$51)</f>
        <v>0</v>
      </c>
      <c r="AA14" s="89">
        <f>IF(Z14=0,0,Z14/'Primary Input'!$J$21)</f>
        <v>0</v>
      </c>
      <c r="AB14" s="88">
        <f>+Z14*(1+'Pro Forma Calculation'!$G$51)</f>
        <v>0</v>
      </c>
      <c r="AC14" s="89">
        <f>IF(AB14=0,0,AB14/'Primary Input'!$J$21)</f>
        <v>0</v>
      </c>
      <c r="AD14" s="88">
        <f>+AB14*(1+'Pro Forma Calculation'!$G$51)</f>
        <v>0</v>
      </c>
      <c r="AE14" s="89">
        <f>IF(AD14=0,0,AD14/'Primary Input'!$J$21)</f>
        <v>0</v>
      </c>
      <c r="AF14" s="88">
        <f>+AD14*(1+'Pro Forma Calculation'!$G$51)</f>
        <v>0</v>
      </c>
      <c r="AG14" s="89">
        <f>IF(AF14=0,0,AF14/'Primary Input'!$J$21)</f>
        <v>0</v>
      </c>
      <c r="AH14" s="88">
        <f>+AF14*(1+'Pro Forma Calculation'!$G$51)</f>
        <v>0</v>
      </c>
      <c r="AI14" s="89">
        <f>IF(AH14=0,0,AH14/'Primary Input'!$J$21)</f>
        <v>0</v>
      </c>
      <c r="AJ14" s="91">
        <f>+AH14*(1+'Pro Forma Calculation'!$G$51)</f>
        <v>0</v>
      </c>
      <c r="AK14" s="89">
        <f>IF(AJ14=0,0,AJ14/'Primary Input'!$J$21)</f>
        <v>0</v>
      </c>
      <c r="AL14" s="88">
        <f>+AJ14*(1+'Pro Forma Calculation'!$G$51)</f>
        <v>0</v>
      </c>
      <c r="AM14" s="89">
        <f>IF(AL14=0,0,AL14/'Primary Input'!$J$21)</f>
        <v>0</v>
      </c>
      <c r="AN14" s="88">
        <f>+AL14*(1+'Pro Forma Calculation'!$G$51)</f>
        <v>0</v>
      </c>
      <c r="AO14" s="89">
        <f>IF(AN14=0,0,AN14/'Primary Input'!$J$21)</f>
        <v>0</v>
      </c>
      <c r="AP14" s="88">
        <f>+AN14*(1+'Pro Forma Calculation'!$G$51)</f>
        <v>0</v>
      </c>
      <c r="AQ14" s="89">
        <f>IF(AP14=0,0,AP14/'Primary Input'!$J$21)</f>
        <v>0</v>
      </c>
    </row>
    <row r="15" spans="1:43">
      <c r="A15" s="63"/>
      <c r="B15" s="78" t="s">
        <v>958</v>
      </c>
      <c r="C15" s="73"/>
      <c r="D15" s="91">
        <f>+'Pro Forma Calculation'!F66</f>
        <v>0</v>
      </c>
      <c r="E15" s="89">
        <f>IF(D15=0,0,D15/'Primary Input'!$J$21)</f>
        <v>0</v>
      </c>
      <c r="F15" s="88">
        <f>+D15*(1+'Pro Forma Calculation'!$G$66)</f>
        <v>0</v>
      </c>
      <c r="G15" s="89">
        <f>IF(F15=0,0,F15/'Primary Input'!$J$21)</f>
        <v>0</v>
      </c>
      <c r="H15" s="88">
        <f>+F15*(1+'Pro Forma Calculation'!$G$66)</f>
        <v>0</v>
      </c>
      <c r="I15" s="89">
        <f>IF(H15=0,0,H15/'Primary Input'!$J$21)</f>
        <v>0</v>
      </c>
      <c r="J15" s="88">
        <f>+H15*(1+'Pro Forma Calculation'!$G$66)</f>
        <v>0</v>
      </c>
      <c r="K15" s="89">
        <f>IF(J15=0,0,J15/'Primary Input'!$J$21)</f>
        <v>0</v>
      </c>
      <c r="L15" s="91">
        <f>+J15*(1+'Pro Forma Calculation'!$G$66)</f>
        <v>0</v>
      </c>
      <c r="M15" s="89">
        <f>IF(L15=0,0,L15/'Primary Input'!$J$21)</f>
        <v>0</v>
      </c>
      <c r="N15" s="88">
        <f>+L15*(1+'Pro Forma Calculation'!$G$66)</f>
        <v>0</v>
      </c>
      <c r="O15" s="89">
        <f>IF(N15=0,0,N15/'Primary Input'!$J$21)</f>
        <v>0</v>
      </c>
      <c r="P15" s="88">
        <f>+N15*(1+'Pro Forma Calculation'!$G$66)</f>
        <v>0</v>
      </c>
      <c r="Q15" s="89">
        <f>IF(P15=0,0,P15/'Primary Input'!$J$21)</f>
        <v>0</v>
      </c>
      <c r="R15" s="88">
        <f>+P15*(1+'Pro Forma Calculation'!$G$66)</f>
        <v>0</v>
      </c>
      <c r="S15" s="89">
        <f>IF(R15=0,0,R15/'Primary Input'!$J$21)</f>
        <v>0</v>
      </c>
      <c r="T15" s="88">
        <f>+R15*(1+'Pro Forma Calculation'!$G$66)</f>
        <v>0</v>
      </c>
      <c r="U15" s="89">
        <f>IF(T15=0,0,T15/'Primary Input'!$J$21)</f>
        <v>0</v>
      </c>
      <c r="V15" s="88">
        <f>+T15*(1+'Pro Forma Calculation'!$G$66)</f>
        <v>0</v>
      </c>
      <c r="W15" s="89">
        <f>IF(V15=0,0,V15/'Primary Input'!$J$21)</f>
        <v>0</v>
      </c>
      <c r="X15" s="91">
        <f>+V15*(1+'Pro Forma Calculation'!$G$66)</f>
        <v>0</v>
      </c>
      <c r="Y15" s="89">
        <f>IF(X15=0,0,X15/'Primary Input'!$J$21)</f>
        <v>0</v>
      </c>
      <c r="Z15" s="88">
        <f>+X15*(1+'Pro Forma Calculation'!$G$66)</f>
        <v>0</v>
      </c>
      <c r="AA15" s="89">
        <f>IF(Z15=0,0,Z15/'Primary Input'!$J$21)</f>
        <v>0</v>
      </c>
      <c r="AB15" s="88">
        <f>+Z15*(1+'Pro Forma Calculation'!$G$66)</f>
        <v>0</v>
      </c>
      <c r="AC15" s="89">
        <f>IF(AB15=0,0,AB15/'Primary Input'!$J$21)</f>
        <v>0</v>
      </c>
      <c r="AD15" s="88">
        <f>+AB15*(1+'Pro Forma Calculation'!$G$66)</f>
        <v>0</v>
      </c>
      <c r="AE15" s="89">
        <f>IF(AD15=0,0,AD15/'Primary Input'!$J$21)</f>
        <v>0</v>
      </c>
      <c r="AF15" s="88">
        <f>+AD15*(1+'Pro Forma Calculation'!$G$66)</f>
        <v>0</v>
      </c>
      <c r="AG15" s="89">
        <f>IF(AF15=0,0,AF15/'Primary Input'!$J$21)</f>
        <v>0</v>
      </c>
      <c r="AH15" s="88">
        <f>+AF15*(1+'Pro Forma Calculation'!$G$66)</f>
        <v>0</v>
      </c>
      <c r="AI15" s="89">
        <f>IF(AH15=0,0,AH15/'Primary Input'!$J$21)</f>
        <v>0</v>
      </c>
      <c r="AJ15" s="91">
        <f>+AH15*(1+'Pro Forma Calculation'!$G$66)</f>
        <v>0</v>
      </c>
      <c r="AK15" s="89">
        <f>IF(AJ15=0,0,AJ15/'Primary Input'!$J$21)</f>
        <v>0</v>
      </c>
      <c r="AL15" s="88">
        <f>+AJ15*(1+'Pro Forma Calculation'!$G$66)</f>
        <v>0</v>
      </c>
      <c r="AM15" s="89">
        <f>IF(AL15=0,0,AL15/'Primary Input'!$J$21)</f>
        <v>0</v>
      </c>
      <c r="AN15" s="88">
        <f>+AL15*(1+'Pro Forma Calculation'!$G$66)</f>
        <v>0</v>
      </c>
      <c r="AO15" s="89">
        <f>IF(AN15=0,0,AN15/'Primary Input'!$J$21)</f>
        <v>0</v>
      </c>
      <c r="AP15" s="88">
        <f>+AN15*(1+'Pro Forma Calculation'!$G$66)</f>
        <v>0</v>
      </c>
      <c r="AQ15" s="89">
        <f>IF(AP15=0,0,AP15/'Primary Input'!$J$21)</f>
        <v>0</v>
      </c>
    </row>
    <row r="16" spans="1:43">
      <c r="A16" s="63"/>
      <c r="B16" s="72" t="s">
        <v>1261</v>
      </c>
      <c r="C16" s="73"/>
      <c r="D16" s="91">
        <f>+'Pro Forma Calculation'!F68</f>
        <v>0</v>
      </c>
      <c r="E16" s="89">
        <f>IF(D16=0,0,D16/'Primary Input'!$J$21)</f>
        <v>0</v>
      </c>
      <c r="F16" s="88">
        <f>+D16*(1+'Pro Forma Calculation'!$G$68)</f>
        <v>0</v>
      </c>
      <c r="G16" s="89">
        <f>IF(F16=0,0,F16/'Primary Input'!$J$21)</f>
        <v>0</v>
      </c>
      <c r="H16" s="88">
        <f>+F16*(1+'Pro Forma Calculation'!$G$68)</f>
        <v>0</v>
      </c>
      <c r="I16" s="89">
        <f>IF(H16=0,0,H16/'Primary Input'!$J$21)</f>
        <v>0</v>
      </c>
      <c r="J16" s="88">
        <f>+H16*(1+'Pro Forma Calculation'!$G$68)</f>
        <v>0</v>
      </c>
      <c r="K16" s="89">
        <f>IF(J16=0,0,J16/'Primary Input'!$J$21)</f>
        <v>0</v>
      </c>
      <c r="L16" s="91">
        <f>+J16*(1+'Pro Forma Calculation'!$G$68)</f>
        <v>0</v>
      </c>
      <c r="M16" s="89">
        <f>IF(L16=0,0,L16/'Primary Input'!$J$21)</f>
        <v>0</v>
      </c>
      <c r="N16" s="88">
        <f>+L16*(1+'Pro Forma Calculation'!$G$68)</f>
        <v>0</v>
      </c>
      <c r="O16" s="89">
        <f>IF(N16=0,0,N16/'Primary Input'!$J$21)</f>
        <v>0</v>
      </c>
      <c r="P16" s="88">
        <f>+N16*(1+'Pro Forma Calculation'!$G$68)</f>
        <v>0</v>
      </c>
      <c r="Q16" s="89">
        <f>IF(P16=0,0,P16/'Primary Input'!$J$21)</f>
        <v>0</v>
      </c>
      <c r="R16" s="88">
        <f>+P16*(1+'Pro Forma Calculation'!$G$68)</f>
        <v>0</v>
      </c>
      <c r="S16" s="89">
        <f>IF(R16=0,0,R16/'Primary Input'!$J$21)</f>
        <v>0</v>
      </c>
      <c r="T16" s="88">
        <f>+R16*(1+'Pro Forma Calculation'!$G$68)</f>
        <v>0</v>
      </c>
      <c r="U16" s="89">
        <f>IF(T16=0,0,T16/'Primary Input'!$J$21)</f>
        <v>0</v>
      </c>
      <c r="V16" s="88">
        <f>+T16*(1+'Pro Forma Calculation'!$G$68)</f>
        <v>0</v>
      </c>
      <c r="W16" s="89">
        <f>IF(V16=0,0,V16/'Primary Input'!$J$21)</f>
        <v>0</v>
      </c>
      <c r="X16" s="91">
        <f>+V16*(1+'Pro Forma Calculation'!$G$68)</f>
        <v>0</v>
      </c>
      <c r="Y16" s="89">
        <f>IF(X16=0,0,X16/'Primary Input'!$J$21)</f>
        <v>0</v>
      </c>
      <c r="Z16" s="88">
        <f>+X16*(1+'Pro Forma Calculation'!$G$68)</f>
        <v>0</v>
      </c>
      <c r="AA16" s="89">
        <f>IF(Z16=0,0,Z16/'Primary Input'!$J$21)</f>
        <v>0</v>
      </c>
      <c r="AB16" s="88">
        <f>+Z16*(1+'Pro Forma Calculation'!$G$68)</f>
        <v>0</v>
      </c>
      <c r="AC16" s="89">
        <f>IF(AB16=0,0,AB16/'Primary Input'!$J$21)</f>
        <v>0</v>
      </c>
      <c r="AD16" s="88">
        <f>+AB16*(1+'Pro Forma Calculation'!$G$68)</f>
        <v>0</v>
      </c>
      <c r="AE16" s="89">
        <f>IF(AD16=0,0,AD16/'Primary Input'!$J$21)</f>
        <v>0</v>
      </c>
      <c r="AF16" s="88">
        <f>+AD16*(1+'Pro Forma Calculation'!$G$68)</f>
        <v>0</v>
      </c>
      <c r="AG16" s="89">
        <f>IF(AF16=0,0,AF16/'Primary Input'!$J$21)</f>
        <v>0</v>
      </c>
      <c r="AH16" s="88">
        <f>+AF16*(1+'Pro Forma Calculation'!$G$68)</f>
        <v>0</v>
      </c>
      <c r="AI16" s="89">
        <f>IF(AH16=0,0,AH16/'Primary Input'!$J$21)</f>
        <v>0</v>
      </c>
      <c r="AJ16" s="91">
        <f>+AH16*(1+'Pro Forma Calculation'!$G$68)</f>
        <v>0</v>
      </c>
      <c r="AK16" s="89">
        <f>IF(AJ16=0,0,AJ16/'Primary Input'!$J$21)</f>
        <v>0</v>
      </c>
      <c r="AL16" s="88">
        <f>+AJ16*(1+'Pro Forma Calculation'!$G$68)</f>
        <v>0</v>
      </c>
      <c r="AM16" s="89">
        <f>IF(AL16=0,0,AL16/'Primary Input'!$J$21)</f>
        <v>0</v>
      </c>
      <c r="AN16" s="88">
        <f>+AL16*(1+'Pro Forma Calculation'!$G$68)</f>
        <v>0</v>
      </c>
      <c r="AO16" s="89">
        <f>IF(AN16=0,0,AN16/'Primary Input'!$J$21)</f>
        <v>0</v>
      </c>
      <c r="AP16" s="88">
        <f>+AN16*(1+'Pro Forma Calculation'!$G$68)</f>
        <v>0</v>
      </c>
      <c r="AQ16" s="89">
        <f>IF(AP16=0,0,AP16/'Primary Input'!$J$21)</f>
        <v>0</v>
      </c>
    </row>
    <row r="17" spans="1:43">
      <c r="A17" s="63"/>
      <c r="B17" s="72" t="s">
        <v>159</v>
      </c>
      <c r="C17" s="73"/>
      <c r="D17" s="91">
        <f>+'Pro Forma Calculation'!F71</f>
        <v>0</v>
      </c>
      <c r="E17" s="89">
        <f>IF(D17=0,0,D17/'Primary Input'!$J$21)</f>
        <v>0</v>
      </c>
      <c r="F17" s="88">
        <f>+D17*(1+'Pro Forma Calculation'!$G$71)</f>
        <v>0</v>
      </c>
      <c r="G17" s="89">
        <f>IF(F17=0,0,F17/'Primary Input'!$J$21)</f>
        <v>0</v>
      </c>
      <c r="H17" s="88">
        <f>+F17*(1+'Pro Forma Calculation'!$G$71)</f>
        <v>0</v>
      </c>
      <c r="I17" s="89">
        <f>IF(H17=0,0,H17/'Primary Input'!$J$21)</f>
        <v>0</v>
      </c>
      <c r="J17" s="88">
        <f>+H17*(1+'Pro Forma Calculation'!$G$71)</f>
        <v>0</v>
      </c>
      <c r="K17" s="89">
        <f>IF(J17=0,0,J17/'Primary Input'!$J$21)</f>
        <v>0</v>
      </c>
      <c r="L17" s="91">
        <f>+J17*(1+'Pro Forma Calculation'!$G$71)</f>
        <v>0</v>
      </c>
      <c r="M17" s="89">
        <f>IF(L17=0,0,L17/'Primary Input'!$J$21)</f>
        <v>0</v>
      </c>
      <c r="N17" s="88">
        <f>+L17*(1+'Pro Forma Calculation'!$G$71)</f>
        <v>0</v>
      </c>
      <c r="O17" s="89">
        <f>IF(N17=0,0,N17/'Primary Input'!$J$21)</f>
        <v>0</v>
      </c>
      <c r="P17" s="88">
        <f>+N17*(1+'Pro Forma Calculation'!$G$71)</f>
        <v>0</v>
      </c>
      <c r="Q17" s="89">
        <f>IF(P17=0,0,P17/'Primary Input'!$J$21)</f>
        <v>0</v>
      </c>
      <c r="R17" s="88">
        <f>+P17*(1+'Pro Forma Calculation'!$G$71)</f>
        <v>0</v>
      </c>
      <c r="S17" s="89">
        <f>IF(R17=0,0,R17/'Primary Input'!$J$21)</f>
        <v>0</v>
      </c>
      <c r="T17" s="88">
        <f>+R17*(1+'Pro Forma Calculation'!$G$71)</f>
        <v>0</v>
      </c>
      <c r="U17" s="89">
        <f>IF(T17=0,0,T17/'Primary Input'!$J$21)</f>
        <v>0</v>
      </c>
      <c r="V17" s="88">
        <f>+T17*(1+'Pro Forma Calculation'!$G$71)</f>
        <v>0</v>
      </c>
      <c r="W17" s="89">
        <f>IF(V17=0,0,V17/'Primary Input'!$J$21)</f>
        <v>0</v>
      </c>
      <c r="X17" s="91">
        <f>+V17*(1+'Pro Forma Calculation'!$G$71)</f>
        <v>0</v>
      </c>
      <c r="Y17" s="89">
        <f>IF(X17=0,0,X17/'Primary Input'!$J$21)</f>
        <v>0</v>
      </c>
      <c r="Z17" s="88">
        <f>+X17*(1+'Pro Forma Calculation'!$G$71)</f>
        <v>0</v>
      </c>
      <c r="AA17" s="89">
        <f>IF(Z17=0,0,Z17/'Primary Input'!$J$21)</f>
        <v>0</v>
      </c>
      <c r="AB17" s="88">
        <f>+Z17*(1+'Pro Forma Calculation'!$G$71)</f>
        <v>0</v>
      </c>
      <c r="AC17" s="89">
        <f>IF(AB17=0,0,AB17/'Primary Input'!$J$21)</f>
        <v>0</v>
      </c>
      <c r="AD17" s="88">
        <f>+AB17*(1+'Pro Forma Calculation'!$G$71)</f>
        <v>0</v>
      </c>
      <c r="AE17" s="89">
        <f>IF(AD17=0,0,AD17/'Primary Input'!$J$21)</f>
        <v>0</v>
      </c>
      <c r="AF17" s="88">
        <f>+AD17*(1+'Pro Forma Calculation'!$G$71)</f>
        <v>0</v>
      </c>
      <c r="AG17" s="89">
        <f>IF(AF17=0,0,AF17/'Primary Input'!$J$21)</f>
        <v>0</v>
      </c>
      <c r="AH17" s="88">
        <f>+AF17*(1+'Pro Forma Calculation'!$G$71)</f>
        <v>0</v>
      </c>
      <c r="AI17" s="89">
        <f>IF(AH17=0,0,AH17/'Primary Input'!$J$21)</f>
        <v>0</v>
      </c>
      <c r="AJ17" s="91">
        <f>+AH17*(1+'Pro Forma Calculation'!$G$71)</f>
        <v>0</v>
      </c>
      <c r="AK17" s="89">
        <f>IF(AJ17=0,0,AJ17/'Primary Input'!$J$21)</f>
        <v>0</v>
      </c>
      <c r="AL17" s="88">
        <f>+AJ17*(1+'Pro Forma Calculation'!$G$71)</f>
        <v>0</v>
      </c>
      <c r="AM17" s="89">
        <f>IF(AL17=0,0,AL17/'Primary Input'!$J$21)</f>
        <v>0</v>
      </c>
      <c r="AN17" s="88">
        <f>+AL17*(1+'Pro Forma Calculation'!$G$71)</f>
        <v>0</v>
      </c>
      <c r="AO17" s="89">
        <f>IF(AN17=0,0,AN17/'Primary Input'!$J$21)</f>
        <v>0</v>
      </c>
      <c r="AP17" s="88">
        <f>+AN17*(1+'Pro Forma Calculation'!$G$71)</f>
        <v>0</v>
      </c>
      <c r="AQ17" s="89">
        <f>IF(AP17=0,0,AP17/'Primary Input'!$J$21)</f>
        <v>0</v>
      </c>
    </row>
    <row r="18" spans="1:43">
      <c r="A18" s="63"/>
      <c r="B18" s="79" t="s">
        <v>959</v>
      </c>
      <c r="C18" s="73"/>
      <c r="D18" s="91">
        <f>+'Pro Forma Calculation'!F76-SUM(D16:D17)</f>
        <v>0</v>
      </c>
      <c r="E18" s="89">
        <f>IF(D18=0,0,D18/'Primary Input'!$J$21)</f>
        <v>0</v>
      </c>
      <c r="F18" s="88">
        <f>+D18*(1+'Pro Forma Calculation'!$G$75)</f>
        <v>0</v>
      </c>
      <c r="G18" s="89">
        <f>IF(F18=0,0,F18/'Primary Input'!$J$21)</f>
        <v>0</v>
      </c>
      <c r="H18" s="88">
        <f>+F18*(1+'Pro Forma Calculation'!$G$75)</f>
        <v>0</v>
      </c>
      <c r="I18" s="89">
        <f>IF(H18=0,0,H18/'Primary Input'!$J$21)</f>
        <v>0</v>
      </c>
      <c r="J18" s="88">
        <f>+H18*(1+'Pro Forma Calculation'!$G$75)</f>
        <v>0</v>
      </c>
      <c r="K18" s="89">
        <f>IF(J18=0,0,J18/'Primary Input'!$J$21)</f>
        <v>0</v>
      </c>
      <c r="L18" s="91">
        <f>+J18*(1+'Pro Forma Calculation'!$G$75)</f>
        <v>0</v>
      </c>
      <c r="M18" s="89">
        <f>IF(L18=0,0,L18/'Primary Input'!$J$21)</f>
        <v>0</v>
      </c>
      <c r="N18" s="88">
        <f>+L18*(1+'Pro Forma Calculation'!$G$75)</f>
        <v>0</v>
      </c>
      <c r="O18" s="89">
        <f>IF(N18=0,0,N18/'Primary Input'!$J$21)</f>
        <v>0</v>
      </c>
      <c r="P18" s="88">
        <f>+N18*(1+'Pro Forma Calculation'!$G$75)</f>
        <v>0</v>
      </c>
      <c r="Q18" s="89">
        <f>IF(P18=0,0,P18/'Primary Input'!$J$21)</f>
        <v>0</v>
      </c>
      <c r="R18" s="88">
        <f>+P18*(1+'Pro Forma Calculation'!$G$75)</f>
        <v>0</v>
      </c>
      <c r="S18" s="89">
        <f>IF(R18=0,0,R18/'Primary Input'!$J$21)</f>
        <v>0</v>
      </c>
      <c r="T18" s="88">
        <f>+R18*(1+'Pro Forma Calculation'!$G$75)</f>
        <v>0</v>
      </c>
      <c r="U18" s="89">
        <f>IF(T18=0,0,T18/'Primary Input'!$J$21)</f>
        <v>0</v>
      </c>
      <c r="V18" s="88">
        <f>+T18*(1+'Pro Forma Calculation'!$G$75)</f>
        <v>0</v>
      </c>
      <c r="W18" s="89">
        <f>IF(V18=0,0,V18/'Primary Input'!$J$21)</f>
        <v>0</v>
      </c>
      <c r="X18" s="91">
        <f>+V18*(1+'Pro Forma Calculation'!$G$75)</f>
        <v>0</v>
      </c>
      <c r="Y18" s="89">
        <f>IF(X18=0,0,X18/'Primary Input'!$J$21)</f>
        <v>0</v>
      </c>
      <c r="Z18" s="88">
        <f>+X18*(1+'Pro Forma Calculation'!$G$75)</f>
        <v>0</v>
      </c>
      <c r="AA18" s="89">
        <f>IF(Z18=0,0,Z18/'Primary Input'!$J$21)</f>
        <v>0</v>
      </c>
      <c r="AB18" s="88">
        <f>+Z18*(1+'Pro Forma Calculation'!$G$75)</f>
        <v>0</v>
      </c>
      <c r="AC18" s="89">
        <f>IF(AB18=0,0,AB18/'Primary Input'!$J$21)</f>
        <v>0</v>
      </c>
      <c r="AD18" s="88">
        <f>+AB18*(1+'Pro Forma Calculation'!$G$75)</f>
        <v>0</v>
      </c>
      <c r="AE18" s="89">
        <f>IF(AD18=0,0,AD18/'Primary Input'!$J$21)</f>
        <v>0</v>
      </c>
      <c r="AF18" s="88">
        <f>+AD18*(1+'Pro Forma Calculation'!$G$75)</f>
        <v>0</v>
      </c>
      <c r="AG18" s="89">
        <f>IF(AF18=0,0,AF18/'Primary Input'!$J$21)</f>
        <v>0</v>
      </c>
      <c r="AH18" s="88">
        <f>+AF18*(1+'Pro Forma Calculation'!$G$75)</f>
        <v>0</v>
      </c>
      <c r="AI18" s="89">
        <f>IF(AH18=0,0,AH18/'Primary Input'!$J$21)</f>
        <v>0</v>
      </c>
      <c r="AJ18" s="91">
        <f>+AH18*(1+'Pro Forma Calculation'!$G$75)</f>
        <v>0</v>
      </c>
      <c r="AK18" s="89">
        <f>IF(AJ18=0,0,AJ18/'Primary Input'!$J$21)</f>
        <v>0</v>
      </c>
      <c r="AL18" s="88">
        <f>+AJ18*(1+'Pro Forma Calculation'!$G$75)</f>
        <v>0</v>
      </c>
      <c r="AM18" s="89">
        <f>IF(AL18=0,0,AL18/'Primary Input'!$J$21)</f>
        <v>0</v>
      </c>
      <c r="AN18" s="88">
        <f>+AL18*(1+'Pro Forma Calculation'!$G$75)</f>
        <v>0</v>
      </c>
      <c r="AO18" s="89">
        <f>IF(AN18=0,0,AN18/'Primary Input'!$J$21)</f>
        <v>0</v>
      </c>
      <c r="AP18" s="88">
        <f>+AN18*(1+'Pro Forma Calculation'!$G$75)</f>
        <v>0</v>
      </c>
      <c r="AQ18" s="89">
        <f>IF(AP18=0,0,AP18/'Primary Input'!$J$21)</f>
        <v>0</v>
      </c>
    </row>
    <row r="19" spans="1:43">
      <c r="A19" s="63"/>
      <c r="B19" s="80"/>
      <c r="C19" s="73"/>
      <c r="D19" s="91"/>
      <c r="E19" s="89"/>
      <c r="F19" s="91"/>
      <c r="G19" s="89"/>
      <c r="H19" s="91"/>
      <c r="I19" s="89"/>
      <c r="J19" s="91"/>
      <c r="K19" s="89"/>
      <c r="L19" s="91"/>
      <c r="M19" s="89"/>
      <c r="N19" s="91"/>
      <c r="O19" s="89"/>
      <c r="P19" s="91"/>
      <c r="Q19" s="89"/>
      <c r="R19" s="91"/>
      <c r="S19" s="89"/>
      <c r="T19" s="91"/>
      <c r="U19" s="89"/>
      <c r="V19" s="91"/>
      <c r="W19" s="89"/>
      <c r="X19" s="91"/>
      <c r="Y19" s="89"/>
      <c r="Z19" s="91"/>
      <c r="AA19" s="89"/>
      <c r="AB19" s="91"/>
      <c r="AC19" s="89"/>
      <c r="AD19" s="91"/>
      <c r="AE19" s="89"/>
      <c r="AF19" s="91"/>
      <c r="AG19" s="89"/>
      <c r="AH19" s="91"/>
      <c r="AI19" s="89"/>
      <c r="AJ19" s="91"/>
      <c r="AK19" s="89"/>
      <c r="AL19" s="91"/>
      <c r="AM19" s="89"/>
      <c r="AN19" s="91"/>
      <c r="AO19" s="89"/>
      <c r="AP19" s="91"/>
      <c r="AQ19" s="89"/>
    </row>
    <row r="20" spans="1:43" ht="14">
      <c r="A20" s="74"/>
      <c r="B20" s="75" t="s">
        <v>161</v>
      </c>
      <c r="C20" s="76"/>
      <c r="D20" s="92">
        <f>SUM(D11:D19)</f>
        <v>0</v>
      </c>
      <c r="E20" s="93">
        <f>IF(D20=0,0,D20/'Primary Input'!$J$21)</f>
        <v>0</v>
      </c>
      <c r="F20" s="92">
        <f>SUM(F12:F18)</f>
        <v>0</v>
      </c>
      <c r="G20" s="93">
        <f>IF(F20=0,0,F20/'Primary Input'!$J$21)</f>
        <v>0</v>
      </c>
      <c r="H20" s="92">
        <f>SUM(H12:H18)</f>
        <v>0</v>
      </c>
      <c r="I20" s="93">
        <f>IF(H20=0,0,H20/'Primary Input'!$J$21)</f>
        <v>0</v>
      </c>
      <c r="J20" s="92">
        <f>SUM(J12:J18)</f>
        <v>0</v>
      </c>
      <c r="K20" s="93">
        <f>IF(J20=0,0,J20/'Primary Input'!$J$21)</f>
        <v>0</v>
      </c>
      <c r="L20" s="92">
        <f>SUM(L12:L18)</f>
        <v>0</v>
      </c>
      <c r="M20" s="93">
        <f>IF(L20=0,0,L20/'Primary Input'!$J$21)</f>
        <v>0</v>
      </c>
      <c r="N20" s="92">
        <f>SUM(N12:N18)</f>
        <v>0</v>
      </c>
      <c r="O20" s="93">
        <f>IF(N20=0,0,N20/'Primary Input'!$J$21)</f>
        <v>0</v>
      </c>
      <c r="P20" s="92">
        <f>SUM(P12:P18)</f>
        <v>0</v>
      </c>
      <c r="Q20" s="93">
        <f>IF(P20=0,0,P20/'Primary Input'!$J$21)</f>
        <v>0</v>
      </c>
      <c r="R20" s="92">
        <f>SUM(R12:R18)</f>
        <v>0</v>
      </c>
      <c r="S20" s="93">
        <f>IF(R20=0,0,R20/'Primary Input'!$J$21)</f>
        <v>0</v>
      </c>
      <c r="T20" s="92">
        <f>SUM(T12:T18)</f>
        <v>0</v>
      </c>
      <c r="U20" s="93">
        <f>IF(T20=0,0,T20/'Primary Input'!$J$21)</f>
        <v>0</v>
      </c>
      <c r="V20" s="92">
        <f>SUM(V12:V18)</f>
        <v>0</v>
      </c>
      <c r="W20" s="93">
        <f>IF(V20=0,0,V20/'Primary Input'!$J$21)</f>
        <v>0</v>
      </c>
      <c r="X20" s="92">
        <f>SUM(X12:X18)</f>
        <v>0</v>
      </c>
      <c r="Y20" s="93">
        <f>IF(X20=0,0,X20/'Primary Input'!$J$21)</f>
        <v>0</v>
      </c>
      <c r="Z20" s="92">
        <f>SUM(Z12:Z18)</f>
        <v>0</v>
      </c>
      <c r="AA20" s="93">
        <f>IF(Z20=0,0,Z20/'Primary Input'!$J$21)</f>
        <v>0</v>
      </c>
      <c r="AB20" s="92">
        <f>SUM(AB12:AB18)</f>
        <v>0</v>
      </c>
      <c r="AC20" s="93">
        <f>IF(AB20=0,0,AB20/'Primary Input'!$J$21)</f>
        <v>0</v>
      </c>
      <c r="AD20" s="92">
        <f>SUM(AD12:AD18)</f>
        <v>0</v>
      </c>
      <c r="AE20" s="93">
        <f>IF(AD20=0,0,AD20/'Primary Input'!$J$21)</f>
        <v>0</v>
      </c>
      <c r="AF20" s="92">
        <f>SUM(AF12:AF18)</f>
        <v>0</v>
      </c>
      <c r="AG20" s="93">
        <f>IF(AF20=0,0,AF20/'Primary Input'!$J$21)</f>
        <v>0</v>
      </c>
      <c r="AH20" s="92">
        <f>SUM(AH12:AH18)</f>
        <v>0</v>
      </c>
      <c r="AI20" s="93">
        <f>IF(AH20=0,0,AH20/'Primary Input'!$J$21)</f>
        <v>0</v>
      </c>
      <c r="AJ20" s="92">
        <f>SUM(AJ12:AJ18)</f>
        <v>0</v>
      </c>
      <c r="AK20" s="93">
        <f>IF(AJ20=0,0,AJ20/'Primary Input'!$J$21)</f>
        <v>0</v>
      </c>
      <c r="AL20" s="92">
        <f>SUM(AL12:AL18)</f>
        <v>0</v>
      </c>
      <c r="AM20" s="93">
        <f>IF(AL20=0,0,AL20/'Primary Input'!$J$21)</f>
        <v>0</v>
      </c>
      <c r="AN20" s="92">
        <f>SUM(AN12:AN18)</f>
        <v>0</v>
      </c>
      <c r="AO20" s="93">
        <f>IF(AN20=0,0,AN20/'Primary Input'!$J$21)</f>
        <v>0</v>
      </c>
      <c r="AP20" s="92">
        <f>SUM(AP12:AP18)</f>
        <v>0</v>
      </c>
      <c r="AQ20" s="93">
        <f>IF(AP20=0,0,AP20/'Primary Input'!$J$21)</f>
        <v>0</v>
      </c>
    </row>
    <row r="21" spans="1:43" ht="14">
      <c r="A21" s="63"/>
      <c r="B21" s="81"/>
      <c r="C21" s="73"/>
      <c r="D21" s="88"/>
      <c r="E21" s="89"/>
      <c r="F21" s="88"/>
      <c r="G21" s="89"/>
      <c r="H21" s="88"/>
      <c r="I21" s="89"/>
      <c r="J21" s="88"/>
      <c r="K21" s="89"/>
      <c r="L21" s="91"/>
      <c r="M21" s="89"/>
      <c r="N21" s="88"/>
      <c r="O21" s="89"/>
      <c r="P21" s="88"/>
      <c r="Q21" s="89"/>
      <c r="R21" s="88"/>
      <c r="S21" s="89"/>
      <c r="T21" s="88"/>
      <c r="U21" s="89"/>
      <c r="V21" s="88"/>
      <c r="W21" s="89"/>
      <c r="X21" s="91"/>
      <c r="Y21" s="89"/>
      <c r="Z21" s="88"/>
      <c r="AA21" s="89"/>
      <c r="AB21" s="88"/>
      <c r="AC21" s="89"/>
      <c r="AD21" s="88"/>
      <c r="AE21" s="89"/>
      <c r="AF21" s="88"/>
      <c r="AG21" s="89"/>
      <c r="AH21" s="88"/>
      <c r="AI21" s="89"/>
      <c r="AJ21" s="91"/>
      <c r="AK21" s="89"/>
      <c r="AL21" s="88"/>
      <c r="AM21" s="89"/>
      <c r="AN21" s="88"/>
      <c r="AO21" s="89"/>
      <c r="AP21" s="88"/>
      <c r="AQ21" s="89"/>
    </row>
    <row r="22" spans="1:43" ht="14">
      <c r="A22" s="74"/>
      <c r="B22" s="75" t="s">
        <v>162</v>
      </c>
      <c r="C22" s="76"/>
      <c r="D22" s="90" t="e">
        <f>+D9-D20</f>
        <v>#N/A</v>
      </c>
      <c r="E22" s="93" t="e">
        <f>IF(D22=0,0,D22/'Primary Input'!$J$21)</f>
        <v>#N/A</v>
      </c>
      <c r="F22" s="90" t="e">
        <f>+F9-F20</f>
        <v>#N/A</v>
      </c>
      <c r="G22" s="93" t="e">
        <f>IF(F22=0,0,F22/'Primary Input'!$J$21)</f>
        <v>#N/A</v>
      </c>
      <c r="H22" s="90" t="e">
        <f>+H9-H20</f>
        <v>#N/A</v>
      </c>
      <c r="I22" s="93" t="e">
        <f>IF(H22=0,0,H22/'Primary Input'!$J$21)</f>
        <v>#N/A</v>
      </c>
      <c r="J22" s="90" t="e">
        <f>+J9-J20</f>
        <v>#N/A</v>
      </c>
      <c r="K22" s="93" t="e">
        <f>IF(J22=0,0,J22/'Primary Input'!$J$21)</f>
        <v>#N/A</v>
      </c>
      <c r="L22" s="92" t="e">
        <f>+L9-L20</f>
        <v>#N/A</v>
      </c>
      <c r="M22" s="93" t="e">
        <f>IF(L22=0,0,L22/'Primary Input'!$J$21)</f>
        <v>#N/A</v>
      </c>
      <c r="N22" s="90" t="e">
        <f>+N9-N20</f>
        <v>#N/A</v>
      </c>
      <c r="O22" s="93" t="e">
        <f>IF(N22=0,0,N22/'Primary Input'!$J$21)</f>
        <v>#N/A</v>
      </c>
      <c r="P22" s="90" t="e">
        <f>+P9-P20</f>
        <v>#N/A</v>
      </c>
      <c r="Q22" s="93" t="e">
        <f>IF(P22=0,0,P22/'Primary Input'!$J$21)</f>
        <v>#N/A</v>
      </c>
      <c r="R22" s="90" t="e">
        <f>+R9-R20</f>
        <v>#N/A</v>
      </c>
      <c r="S22" s="93" t="e">
        <f>IF(R22=0,0,R22/'Primary Input'!$J$21)</f>
        <v>#N/A</v>
      </c>
      <c r="T22" s="90" t="e">
        <f>+T9-T20</f>
        <v>#N/A</v>
      </c>
      <c r="U22" s="93" t="e">
        <f>IF(T22=0,0,T22/'Primary Input'!$J$21)</f>
        <v>#N/A</v>
      </c>
      <c r="V22" s="90" t="e">
        <f>+V9-V20</f>
        <v>#N/A</v>
      </c>
      <c r="W22" s="93" t="e">
        <f>IF(V22=0,0,V22/'Primary Input'!$J$21)</f>
        <v>#N/A</v>
      </c>
      <c r="X22" s="92" t="e">
        <f>+X9-X20</f>
        <v>#N/A</v>
      </c>
      <c r="Y22" s="93" t="e">
        <f>IF(X22=0,0,X22/'Primary Input'!$J$21)</f>
        <v>#N/A</v>
      </c>
      <c r="Z22" s="90" t="e">
        <f>+Z9-Z20</f>
        <v>#N/A</v>
      </c>
      <c r="AA22" s="93" t="e">
        <f>IF(Z22=0,0,Z22/'Primary Input'!$J$21)</f>
        <v>#N/A</v>
      </c>
      <c r="AB22" s="90" t="e">
        <f>+AB9-AB20</f>
        <v>#N/A</v>
      </c>
      <c r="AC22" s="93" t="e">
        <f>IF(AB22=0,0,AB22/'Primary Input'!$J$21)</f>
        <v>#N/A</v>
      </c>
      <c r="AD22" s="90" t="e">
        <f>+AD9-AD20</f>
        <v>#N/A</v>
      </c>
      <c r="AE22" s="93" t="e">
        <f>IF(AD22=0,0,AD22/'Primary Input'!$J$21)</f>
        <v>#N/A</v>
      </c>
      <c r="AF22" s="90" t="e">
        <f>+AF9-AF20</f>
        <v>#N/A</v>
      </c>
      <c r="AG22" s="93" t="e">
        <f>IF(AF22=0,0,AF22/'Primary Input'!$J$21)</f>
        <v>#N/A</v>
      </c>
      <c r="AH22" s="90" t="e">
        <f>+AH9-AH20</f>
        <v>#N/A</v>
      </c>
      <c r="AI22" s="93" t="e">
        <f>IF(AH22=0,0,AH22/'Primary Input'!$J$21)</f>
        <v>#N/A</v>
      </c>
      <c r="AJ22" s="92" t="e">
        <f>+AJ9-AJ20</f>
        <v>#N/A</v>
      </c>
      <c r="AK22" s="93" t="e">
        <f>IF(AJ22=0,0,AJ22/'Primary Input'!$J$21)</f>
        <v>#N/A</v>
      </c>
      <c r="AL22" s="90" t="e">
        <f>+AL9-AL20</f>
        <v>#N/A</v>
      </c>
      <c r="AM22" s="93" t="e">
        <f>IF(AL22=0,0,AL22/'Primary Input'!$J$21)</f>
        <v>#N/A</v>
      </c>
      <c r="AN22" s="90" t="e">
        <f>+AN9-AN20</f>
        <v>#N/A</v>
      </c>
      <c r="AO22" s="93" t="e">
        <f>IF(AN22=0,0,AN22/'Primary Input'!$J$21)</f>
        <v>#N/A</v>
      </c>
      <c r="AP22" s="90" t="e">
        <f>+AP9-AP20</f>
        <v>#N/A</v>
      </c>
      <c r="AQ22" s="93" t="e">
        <f>IF(AP22=0,0,AP22/'Primary Input'!$J$21)</f>
        <v>#N/A</v>
      </c>
    </row>
    <row r="23" spans="1:43">
      <c r="A23" s="63"/>
      <c r="B23" s="72"/>
      <c r="C23" s="73"/>
      <c r="D23" s="88"/>
      <c r="E23" s="89"/>
      <c r="F23" s="88"/>
      <c r="G23" s="89"/>
      <c r="H23" s="88"/>
      <c r="I23" s="89"/>
      <c r="J23" s="88"/>
      <c r="K23" s="89"/>
      <c r="L23" s="91"/>
      <c r="M23" s="89"/>
      <c r="N23" s="88"/>
      <c r="O23" s="89"/>
      <c r="P23" s="88"/>
      <c r="Q23" s="89"/>
      <c r="R23" s="88"/>
      <c r="S23" s="89"/>
      <c r="T23" s="88"/>
      <c r="U23" s="89"/>
      <c r="V23" s="88"/>
      <c r="W23" s="89"/>
      <c r="X23" s="91"/>
      <c r="Y23" s="89"/>
      <c r="Z23" s="88"/>
      <c r="AA23" s="89"/>
      <c r="AB23" s="88"/>
      <c r="AC23" s="89"/>
      <c r="AD23" s="88"/>
      <c r="AE23" s="89"/>
      <c r="AF23" s="88"/>
      <c r="AG23" s="89"/>
      <c r="AH23" s="88"/>
      <c r="AI23" s="89"/>
      <c r="AJ23" s="91"/>
      <c r="AK23" s="89"/>
      <c r="AL23" s="88"/>
      <c r="AM23" s="89"/>
      <c r="AN23" s="88"/>
      <c r="AO23" s="89"/>
      <c r="AP23" s="88"/>
      <c r="AQ23" s="89"/>
    </row>
    <row r="24" spans="1:43">
      <c r="A24" s="63"/>
      <c r="B24" s="72" t="s">
        <v>163</v>
      </c>
      <c r="C24" s="73"/>
      <c r="D24" s="91">
        <f>+'Pro Forma Calculation'!F82</f>
        <v>0</v>
      </c>
      <c r="E24" s="89">
        <f>IF(D24=0,0,D24/'Primary Input'!$J$21)</f>
        <v>0</v>
      </c>
      <c r="F24" s="88">
        <f>+D24*(1+'Pro Forma Calculation'!$G$82)</f>
        <v>0</v>
      </c>
      <c r="G24" s="89">
        <f>IF(F24=0,0,F24/'Primary Input'!$J$21)</f>
        <v>0</v>
      </c>
      <c r="H24" s="88">
        <f>+F24*(1+'Pro Forma Calculation'!$G$82)</f>
        <v>0</v>
      </c>
      <c r="I24" s="89">
        <f>IF(H24=0,0,H24/'Primary Input'!$J$21)</f>
        <v>0</v>
      </c>
      <c r="J24" s="88">
        <f>+H24*(1+'Pro Forma Calculation'!$G$82)</f>
        <v>0</v>
      </c>
      <c r="K24" s="89">
        <f>IF(J24=0,0,J24/'Primary Input'!$J$21)</f>
        <v>0</v>
      </c>
      <c r="L24" s="91">
        <f>+J24*(1+'Pro Forma Calculation'!$G$82)</f>
        <v>0</v>
      </c>
      <c r="M24" s="89">
        <f>IF(L24=0,0,L24/'Primary Input'!$J$21)</f>
        <v>0</v>
      </c>
      <c r="N24" s="88">
        <f>+L24*(1+'Pro Forma Calculation'!$G$82)</f>
        <v>0</v>
      </c>
      <c r="O24" s="89">
        <f>IF(N24=0,0,N24/'Primary Input'!$J$21)</f>
        <v>0</v>
      </c>
      <c r="P24" s="88">
        <f>+N24*(1+'Pro Forma Calculation'!$G$82)</f>
        <v>0</v>
      </c>
      <c r="Q24" s="89">
        <f>IF(P24=0,0,P24/'Primary Input'!$J$21)</f>
        <v>0</v>
      </c>
      <c r="R24" s="88">
        <f>+P24*(1+'Pro Forma Calculation'!$G$82)</f>
        <v>0</v>
      </c>
      <c r="S24" s="89">
        <f>IF(R24=0,0,R24/'Primary Input'!$J$21)</f>
        <v>0</v>
      </c>
      <c r="T24" s="88">
        <f>+R24*(1+'Pro Forma Calculation'!$G$82)</f>
        <v>0</v>
      </c>
      <c r="U24" s="89">
        <f>IF(T24=0,0,T24/'Primary Input'!$J$21)</f>
        <v>0</v>
      </c>
      <c r="V24" s="88">
        <f>+T24*(1+'Pro Forma Calculation'!$G$82)</f>
        <v>0</v>
      </c>
      <c r="W24" s="89">
        <f>IF(V24=0,0,V24/'Primary Input'!$J$21)</f>
        <v>0</v>
      </c>
      <c r="X24" s="91">
        <f>+V24*(1+'Pro Forma Calculation'!$G$82)</f>
        <v>0</v>
      </c>
      <c r="Y24" s="89">
        <f>IF(X24=0,0,X24/'Primary Input'!$J$21)</f>
        <v>0</v>
      </c>
      <c r="Z24" s="88">
        <f>+X24*(1+'Pro Forma Calculation'!$G$82)</f>
        <v>0</v>
      </c>
      <c r="AA24" s="89">
        <f>IF(Z24=0,0,Z24/'Primary Input'!$J$21)</f>
        <v>0</v>
      </c>
      <c r="AB24" s="88">
        <f>+Z24*(1+'Pro Forma Calculation'!$G$82)</f>
        <v>0</v>
      </c>
      <c r="AC24" s="89">
        <f>IF(AB24=0,0,AB24/'Primary Input'!$J$21)</f>
        <v>0</v>
      </c>
      <c r="AD24" s="88">
        <f>+AB24*(1+'Pro Forma Calculation'!$G$82)</f>
        <v>0</v>
      </c>
      <c r="AE24" s="89">
        <f>IF(AD24=0,0,AD24/'Primary Input'!$J$21)</f>
        <v>0</v>
      </c>
      <c r="AF24" s="88">
        <f>+AD24*(1+'Pro Forma Calculation'!$G$82)</f>
        <v>0</v>
      </c>
      <c r="AG24" s="89">
        <f>IF(AF24=0,0,AF24/'Primary Input'!$J$21)</f>
        <v>0</v>
      </c>
      <c r="AH24" s="88">
        <f>+AF24*(1+'Pro Forma Calculation'!$G$82)</f>
        <v>0</v>
      </c>
      <c r="AI24" s="89">
        <f>IF(AH24=0,0,AH24/'Primary Input'!$J$21)</f>
        <v>0</v>
      </c>
      <c r="AJ24" s="91">
        <f>+AH24*(1+'Pro Forma Calculation'!$G$82)</f>
        <v>0</v>
      </c>
      <c r="AK24" s="89">
        <f>IF(AJ24=0,0,AJ24/'Primary Input'!$J$21)</f>
        <v>0</v>
      </c>
      <c r="AL24" s="88">
        <f>+AJ24*(1+'Pro Forma Calculation'!$G$82)</f>
        <v>0</v>
      </c>
      <c r="AM24" s="89">
        <f>IF(AL24=0,0,AL24/'Primary Input'!$J$21)</f>
        <v>0</v>
      </c>
      <c r="AN24" s="88">
        <f>+AL24*(1+'Pro Forma Calculation'!$G$82)</f>
        <v>0</v>
      </c>
      <c r="AO24" s="89">
        <f>IF(AN24=0,0,AN24/'Primary Input'!$J$21)</f>
        <v>0</v>
      </c>
      <c r="AP24" s="88">
        <f>+AN24*(1+'Pro Forma Calculation'!$G$82)</f>
        <v>0</v>
      </c>
      <c r="AQ24" s="89">
        <f>IF(AP24=0,0,AP24/'Primary Input'!$J$21)</f>
        <v>0</v>
      </c>
    </row>
    <row r="25" spans="1:43" ht="14" thickBot="1">
      <c r="A25" s="20"/>
      <c r="B25" s="82"/>
      <c r="C25" s="73"/>
      <c r="D25" s="88"/>
      <c r="E25" s="89"/>
      <c r="F25" s="88"/>
      <c r="G25" s="89"/>
      <c r="H25" s="88"/>
      <c r="I25" s="89"/>
      <c r="J25" s="88"/>
      <c r="K25" s="89"/>
      <c r="L25" s="91"/>
      <c r="M25" s="89"/>
      <c r="N25" s="88"/>
      <c r="O25" s="89"/>
      <c r="P25" s="88"/>
      <c r="Q25" s="89"/>
      <c r="R25" s="88"/>
      <c r="S25" s="89"/>
      <c r="T25" s="88"/>
      <c r="U25" s="89"/>
      <c r="V25" s="88"/>
      <c r="W25" s="89"/>
      <c r="X25" s="91"/>
      <c r="Y25" s="89"/>
      <c r="Z25" s="88"/>
      <c r="AA25" s="89"/>
      <c r="AB25" s="88"/>
      <c r="AC25" s="89"/>
      <c r="AD25" s="88"/>
      <c r="AE25" s="89"/>
      <c r="AF25" s="88"/>
      <c r="AG25" s="89"/>
      <c r="AH25" s="88"/>
      <c r="AI25" s="89"/>
      <c r="AJ25" s="91"/>
      <c r="AK25" s="89"/>
      <c r="AL25" s="88"/>
      <c r="AM25" s="89"/>
      <c r="AN25" s="88"/>
      <c r="AO25" s="89"/>
      <c r="AP25" s="88"/>
      <c r="AQ25" s="89"/>
    </row>
    <row r="26" spans="1:43" ht="16" thickTop="1" thickBot="1">
      <c r="A26" s="74"/>
      <c r="B26" s="132" t="s">
        <v>164</v>
      </c>
      <c r="C26" s="133"/>
      <c r="D26" s="134" t="e">
        <f>D22-D24</f>
        <v>#N/A</v>
      </c>
      <c r="E26" s="135" t="e">
        <f>IF(D26=0,0,D26/'Primary Input'!$J$21)</f>
        <v>#N/A</v>
      </c>
      <c r="F26" s="134" t="e">
        <f>F22-F24</f>
        <v>#N/A</v>
      </c>
      <c r="G26" s="135" t="e">
        <f>IF(F26=0,0,F26/'Primary Input'!$J$21)</f>
        <v>#N/A</v>
      </c>
      <c r="H26" s="134" t="e">
        <f>H22-H24</f>
        <v>#N/A</v>
      </c>
      <c r="I26" s="135" t="e">
        <f>IF(H26=0,0,H26/'Primary Input'!$J$21)</f>
        <v>#N/A</v>
      </c>
      <c r="J26" s="134" t="e">
        <f>J22-J24</f>
        <v>#N/A</v>
      </c>
      <c r="K26" s="135" t="e">
        <f>IF(J26=0,0,J26/'Primary Input'!$J$21)</f>
        <v>#N/A</v>
      </c>
      <c r="L26" s="153" t="e">
        <f>L22-L24</f>
        <v>#N/A</v>
      </c>
      <c r="M26" s="135" t="e">
        <f>IF(L26=0,0,L26/'Primary Input'!$J$21)</f>
        <v>#N/A</v>
      </c>
      <c r="N26" s="134" t="e">
        <f>N22-N24</f>
        <v>#N/A</v>
      </c>
      <c r="O26" s="135" t="e">
        <f>IF(N26=0,0,N26/'Primary Input'!$J$21)</f>
        <v>#N/A</v>
      </c>
      <c r="P26" s="134" t="e">
        <f>P22-P24</f>
        <v>#N/A</v>
      </c>
      <c r="Q26" s="135" t="e">
        <f>IF(P26=0,0,P26/'Primary Input'!$J$21)</f>
        <v>#N/A</v>
      </c>
      <c r="R26" s="134" t="e">
        <f>R22-R24</f>
        <v>#N/A</v>
      </c>
      <c r="S26" s="135" t="e">
        <f>IF(R26=0,0,R26/'Primary Input'!$J$21)</f>
        <v>#N/A</v>
      </c>
      <c r="T26" s="134" t="e">
        <f>T22-T24</f>
        <v>#N/A</v>
      </c>
      <c r="U26" s="135" t="e">
        <f>IF(T26=0,0,T26/'Primary Input'!$J$21)</f>
        <v>#N/A</v>
      </c>
      <c r="V26" s="134" t="e">
        <f>V22-V24</f>
        <v>#N/A</v>
      </c>
      <c r="W26" s="135" t="e">
        <f>IF(V26=0,0,V26/'Primary Input'!$J$21)</f>
        <v>#N/A</v>
      </c>
      <c r="X26" s="153" t="e">
        <f>X22-X24</f>
        <v>#N/A</v>
      </c>
      <c r="Y26" s="135" t="e">
        <f>IF(X26=0,0,X26/'Primary Input'!$J$21)</f>
        <v>#N/A</v>
      </c>
      <c r="Z26" s="134" t="e">
        <f>Z22-Z24</f>
        <v>#N/A</v>
      </c>
      <c r="AA26" s="135" t="e">
        <f>IF(Z26=0,0,Z26/'Primary Input'!$J$21)</f>
        <v>#N/A</v>
      </c>
      <c r="AB26" s="134" t="e">
        <f>AB22-AB24</f>
        <v>#N/A</v>
      </c>
      <c r="AC26" s="135" t="e">
        <f>IF(AB26=0,0,AB26/'Primary Input'!$J$21)</f>
        <v>#N/A</v>
      </c>
      <c r="AD26" s="134" t="e">
        <f>AD22-AD24</f>
        <v>#N/A</v>
      </c>
      <c r="AE26" s="135" t="e">
        <f>IF(AD26=0,0,AD26/'Primary Input'!$J$21)</f>
        <v>#N/A</v>
      </c>
      <c r="AF26" s="134" t="e">
        <f>AF22-AF24</f>
        <v>#N/A</v>
      </c>
      <c r="AG26" s="135" t="e">
        <f>IF(AF26=0,0,AF26/'Primary Input'!$J$21)</f>
        <v>#N/A</v>
      </c>
      <c r="AH26" s="134" t="e">
        <f>AH22-AH24</f>
        <v>#N/A</v>
      </c>
      <c r="AI26" s="135" t="e">
        <f>IF(AH26=0,0,AH26/'Primary Input'!$J$21)</f>
        <v>#N/A</v>
      </c>
      <c r="AJ26" s="153" t="e">
        <f>AJ22-AJ24</f>
        <v>#N/A</v>
      </c>
      <c r="AK26" s="135" t="e">
        <f>IF(AJ26=0,0,AJ26/'Primary Input'!$J$21)</f>
        <v>#N/A</v>
      </c>
      <c r="AL26" s="134" t="e">
        <f>AL22-AL24</f>
        <v>#N/A</v>
      </c>
      <c r="AM26" s="135" t="e">
        <f>IF(AL26=0,0,AL26/'Primary Input'!$J$21)</f>
        <v>#N/A</v>
      </c>
      <c r="AN26" s="134" t="e">
        <f>AN22-AN24</f>
        <v>#N/A</v>
      </c>
      <c r="AO26" s="135" t="e">
        <f>IF(AN26=0,0,AN26/'Primary Input'!$J$21)</f>
        <v>#N/A</v>
      </c>
      <c r="AP26" s="134" t="e">
        <f>AP22-AP24</f>
        <v>#N/A</v>
      </c>
      <c r="AQ26" s="135" t="e">
        <f>IF(AP26=0,0,AP26/'Primary Input'!$J$21)</f>
        <v>#N/A</v>
      </c>
    </row>
    <row r="27" spans="1:43" ht="14" thickTop="1">
      <c r="A27" s="20"/>
      <c r="B27" s="72"/>
      <c r="C27" s="73"/>
      <c r="D27" s="88"/>
      <c r="E27" s="89"/>
      <c r="F27" s="88"/>
      <c r="G27" s="89"/>
      <c r="H27" s="88"/>
      <c r="I27" s="89"/>
      <c r="J27" s="88"/>
      <c r="K27" s="89"/>
      <c r="L27" s="91"/>
      <c r="M27" s="89"/>
      <c r="N27" s="88"/>
      <c r="O27" s="89"/>
      <c r="P27" s="88"/>
      <c r="Q27" s="89"/>
      <c r="R27" s="88"/>
      <c r="S27" s="89"/>
      <c r="T27" s="88"/>
      <c r="U27" s="89"/>
      <c r="V27" s="88"/>
      <c r="W27" s="89"/>
      <c r="X27" s="91"/>
      <c r="Y27" s="89"/>
      <c r="Z27" s="88"/>
      <c r="AA27" s="89"/>
      <c r="AB27" s="88"/>
      <c r="AC27" s="89"/>
      <c r="AD27" s="88"/>
      <c r="AE27" s="89"/>
      <c r="AF27" s="88"/>
      <c r="AG27" s="89"/>
      <c r="AH27" s="88"/>
      <c r="AI27" s="89"/>
      <c r="AJ27" s="91"/>
      <c r="AK27" s="89"/>
      <c r="AL27" s="88"/>
      <c r="AM27" s="89"/>
      <c r="AN27" s="88"/>
      <c r="AO27" s="89"/>
      <c r="AP27" s="88"/>
      <c r="AQ27" s="89"/>
    </row>
    <row r="28" spans="1:43">
      <c r="A28" s="63"/>
      <c r="B28" s="80" t="s">
        <v>165</v>
      </c>
      <c r="C28" s="73"/>
      <c r="D28" s="88"/>
      <c r="E28" s="89"/>
      <c r="F28" s="88"/>
      <c r="G28" s="89"/>
      <c r="H28" s="88"/>
      <c r="I28" s="89"/>
      <c r="J28" s="88"/>
      <c r="K28" s="89"/>
      <c r="L28" s="91"/>
      <c r="M28" s="89"/>
      <c r="N28" s="88"/>
      <c r="O28" s="89"/>
      <c r="P28" s="88"/>
      <c r="Q28" s="89"/>
      <c r="R28" s="88"/>
      <c r="S28" s="89"/>
      <c r="T28" s="88"/>
      <c r="U28" s="89"/>
      <c r="V28" s="88"/>
      <c r="W28" s="89"/>
      <c r="X28" s="91"/>
      <c r="Y28" s="89"/>
      <c r="Z28" s="88"/>
      <c r="AA28" s="89"/>
      <c r="AB28" s="88"/>
      <c r="AC28" s="89"/>
      <c r="AD28" s="88"/>
      <c r="AE28" s="89"/>
      <c r="AF28" s="88"/>
      <c r="AG28" s="89"/>
      <c r="AH28" s="88"/>
      <c r="AI28" s="89"/>
      <c r="AJ28" s="91"/>
      <c r="AK28" s="89"/>
      <c r="AL28" s="88"/>
      <c r="AM28" s="89"/>
      <c r="AN28" s="88"/>
      <c r="AO28" s="89"/>
      <c r="AP28" s="88"/>
      <c r="AQ28" s="89"/>
    </row>
    <row r="29" spans="1:43">
      <c r="A29" s="63"/>
      <c r="B29" s="72" t="s">
        <v>166</v>
      </c>
      <c r="C29" s="73"/>
      <c r="D29" s="88">
        <f>+'Pro Forma Calculation'!F87</f>
        <v>0</v>
      </c>
      <c r="E29" s="89">
        <f>IF(D29=0,0,D29/'Primary Input'!$J$21)</f>
        <v>0</v>
      </c>
      <c r="F29" s="88">
        <f>+D29</f>
        <v>0</v>
      </c>
      <c r="G29" s="89">
        <f>IF(F29=0,0,F29/'Primary Input'!$J$21)</f>
        <v>0</v>
      </c>
      <c r="H29" s="88">
        <f>+F29</f>
        <v>0</v>
      </c>
      <c r="I29" s="89">
        <f>IF(H29=0,0,H29/'Primary Input'!$J$21)</f>
        <v>0</v>
      </c>
      <c r="J29" s="88">
        <f>+H29</f>
        <v>0</v>
      </c>
      <c r="K29" s="89">
        <f>IF(J29=0,0,J29/'Primary Input'!$J$21)</f>
        <v>0</v>
      </c>
      <c r="L29" s="91">
        <f>+J29</f>
        <v>0</v>
      </c>
      <c r="M29" s="89">
        <f>IF(L29=0,0,L29/'Primary Input'!$J$21)</f>
        <v>0</v>
      </c>
      <c r="N29" s="88">
        <f>+L29</f>
        <v>0</v>
      </c>
      <c r="O29" s="89">
        <f>IF(N29=0,0,N29/'Primary Input'!$J$21)</f>
        <v>0</v>
      </c>
      <c r="P29" s="88">
        <f>+N29</f>
        <v>0</v>
      </c>
      <c r="Q29" s="89">
        <f>IF(P29=0,0,P29/'Primary Input'!$J$21)</f>
        <v>0</v>
      </c>
      <c r="R29" s="88">
        <f>+P29</f>
        <v>0</v>
      </c>
      <c r="S29" s="89">
        <f>IF(R29=0,0,R29/'Primary Input'!$J$21)</f>
        <v>0</v>
      </c>
      <c r="T29" s="88">
        <f>+R29</f>
        <v>0</v>
      </c>
      <c r="U29" s="89">
        <f>IF(T29=0,0,T29/'Primary Input'!$J$21)</f>
        <v>0</v>
      </c>
      <c r="V29" s="88">
        <f>+T29</f>
        <v>0</v>
      </c>
      <c r="W29" s="89">
        <f>IF(V29=0,0,V29/'Primary Input'!$J$21)</f>
        <v>0</v>
      </c>
      <c r="X29" s="91">
        <f>+V29</f>
        <v>0</v>
      </c>
      <c r="Y29" s="89">
        <f>IF(X29=0,0,X29/'Primary Input'!$J$21)</f>
        <v>0</v>
      </c>
      <c r="Z29" s="88">
        <f>+X29</f>
        <v>0</v>
      </c>
      <c r="AA29" s="89">
        <f>IF(Z29=0,0,Z29/'Primary Input'!$J$21)</f>
        <v>0</v>
      </c>
      <c r="AB29" s="88">
        <f>+Z29</f>
        <v>0</v>
      </c>
      <c r="AC29" s="89">
        <f>IF(AB29=0,0,AB29/'Primary Input'!$J$21)</f>
        <v>0</v>
      </c>
      <c r="AD29" s="88">
        <f>+AB29</f>
        <v>0</v>
      </c>
      <c r="AE29" s="89">
        <f>IF(AD29=0,0,AD29/'Primary Input'!$J$21)</f>
        <v>0</v>
      </c>
      <c r="AF29" s="88">
        <f>+AD29</f>
        <v>0</v>
      </c>
      <c r="AG29" s="89">
        <f>IF(AF29=0,0,AF29/'Primary Input'!$J$21)</f>
        <v>0</v>
      </c>
      <c r="AH29" s="88">
        <f>+AF29</f>
        <v>0</v>
      </c>
      <c r="AI29" s="89">
        <f>IF(AH29=0,0,AH29/'Primary Input'!$J$21)</f>
        <v>0</v>
      </c>
      <c r="AJ29" s="91">
        <f>+AH29</f>
        <v>0</v>
      </c>
      <c r="AK29" s="89">
        <f>IF(AJ29=0,0,AJ29/'Primary Input'!$J$21)</f>
        <v>0</v>
      </c>
      <c r="AL29" s="88">
        <f>+AJ29</f>
        <v>0</v>
      </c>
      <c r="AM29" s="89">
        <f>IF(AL29=0,0,AL29/'Primary Input'!$J$21)</f>
        <v>0</v>
      </c>
      <c r="AN29" s="88">
        <f>+AL29</f>
        <v>0</v>
      </c>
      <c r="AO29" s="89">
        <f>IF(AN29=0,0,AN29/'Primary Input'!$J$21)</f>
        <v>0</v>
      </c>
      <c r="AP29" s="88">
        <f>+AN29</f>
        <v>0</v>
      </c>
      <c r="AQ29" s="89">
        <f>IF(AP29=0,0,AP29/'Primary Input'!$J$21)</f>
        <v>0</v>
      </c>
    </row>
    <row r="30" spans="1:43">
      <c r="A30" s="63"/>
      <c r="B30" s="79" t="s">
        <v>1219</v>
      </c>
      <c r="C30" s="73"/>
      <c r="D30" s="88">
        <f>+'Pro Forma Calculation'!F88</f>
        <v>0</v>
      </c>
      <c r="E30" s="89">
        <f>IF(D30=0,0,D30/'Primary Input'!$J$21)</f>
        <v>0</v>
      </c>
      <c r="F30" s="88">
        <f>+D30</f>
        <v>0</v>
      </c>
      <c r="G30" s="89">
        <f>IF(F30=0,0,F30/'Primary Input'!$J$21)</f>
        <v>0</v>
      </c>
      <c r="H30" s="88">
        <f>+F30</f>
        <v>0</v>
      </c>
      <c r="I30" s="89">
        <f>IF(H30=0,0,H30/'Primary Input'!$J$21)</f>
        <v>0</v>
      </c>
      <c r="J30" s="88">
        <f>+H30</f>
        <v>0</v>
      </c>
      <c r="K30" s="89">
        <f>IF(J30=0,0,J30/'Primary Input'!$J$21)</f>
        <v>0</v>
      </c>
      <c r="L30" s="91">
        <f>+J30</f>
        <v>0</v>
      </c>
      <c r="M30" s="89">
        <f>IF(L30=0,0,L30/'Primary Input'!$J$21)</f>
        <v>0</v>
      </c>
      <c r="N30" s="88">
        <f>+L30</f>
        <v>0</v>
      </c>
      <c r="O30" s="89">
        <f>IF(N30=0,0,N30/'Primary Input'!$J$21)</f>
        <v>0</v>
      </c>
      <c r="P30" s="88">
        <f>+N30</f>
        <v>0</v>
      </c>
      <c r="Q30" s="89">
        <f>IF(P30=0,0,P30/'Primary Input'!$J$21)</f>
        <v>0</v>
      </c>
      <c r="R30" s="88">
        <f>+P30</f>
        <v>0</v>
      </c>
      <c r="S30" s="89">
        <f>IF(R30=0,0,R30/'Primary Input'!$J$21)</f>
        <v>0</v>
      </c>
      <c r="T30" s="88">
        <f>+R30</f>
        <v>0</v>
      </c>
      <c r="U30" s="89">
        <f>IF(T30=0,0,T30/'Primary Input'!$J$21)</f>
        <v>0</v>
      </c>
      <c r="V30" s="88">
        <f>+T30</f>
        <v>0</v>
      </c>
      <c r="W30" s="89">
        <f>IF(V30=0,0,V30/'Primary Input'!$J$21)</f>
        <v>0</v>
      </c>
      <c r="X30" s="91">
        <f>+V30</f>
        <v>0</v>
      </c>
      <c r="Y30" s="89">
        <f>IF(X30=0,0,X30/'Primary Input'!$J$21)</f>
        <v>0</v>
      </c>
      <c r="Z30" s="88">
        <f>+X30</f>
        <v>0</v>
      </c>
      <c r="AA30" s="89">
        <f>IF(Z30=0,0,Z30/'Primary Input'!$J$21)</f>
        <v>0</v>
      </c>
      <c r="AB30" s="88">
        <f>+Z30</f>
        <v>0</v>
      </c>
      <c r="AC30" s="89">
        <f>IF(AB30=0,0,AB30/'Primary Input'!$J$21)</f>
        <v>0</v>
      </c>
      <c r="AD30" s="88">
        <f>+AB30</f>
        <v>0</v>
      </c>
      <c r="AE30" s="89">
        <f>IF(AD30=0,0,AD30/'Primary Input'!$J$21)</f>
        <v>0</v>
      </c>
      <c r="AF30" s="88">
        <f>+AD30</f>
        <v>0</v>
      </c>
      <c r="AG30" s="89">
        <f>IF(AF30=0,0,AF30/'Primary Input'!$J$21)</f>
        <v>0</v>
      </c>
      <c r="AH30" s="88">
        <f>+AF30</f>
        <v>0</v>
      </c>
      <c r="AI30" s="89">
        <f>IF(AH30=0,0,AH30/'Primary Input'!$J$21)</f>
        <v>0</v>
      </c>
      <c r="AJ30" s="91">
        <f>+AH30</f>
        <v>0</v>
      </c>
      <c r="AK30" s="89">
        <f>IF(AJ30=0,0,AJ30/'Primary Input'!$J$21)</f>
        <v>0</v>
      </c>
      <c r="AL30" s="88">
        <f>+AJ30</f>
        <v>0</v>
      </c>
      <c r="AM30" s="89">
        <f>IF(AL30=0,0,AL30/'Primary Input'!$J$21)</f>
        <v>0</v>
      </c>
      <c r="AN30" s="88">
        <f>+AL30</f>
        <v>0</v>
      </c>
      <c r="AO30" s="89">
        <f>IF(AN30=0,0,AN30/'Primary Input'!$J$21)</f>
        <v>0</v>
      </c>
      <c r="AP30" s="88">
        <f>+AN30</f>
        <v>0</v>
      </c>
      <c r="AQ30" s="89">
        <f>IF(AP30=0,0,AP30/'Primary Input'!$J$21)</f>
        <v>0</v>
      </c>
    </row>
    <row r="31" spans="1:43">
      <c r="A31" s="63"/>
      <c r="B31" s="79" t="s">
        <v>32</v>
      </c>
      <c r="C31" s="2"/>
      <c r="D31" s="875"/>
      <c r="E31" s="96">
        <f>IF(D31=0,0,D31/'Primary Input'!$J$21)</f>
        <v>0</v>
      </c>
      <c r="F31" s="875"/>
      <c r="G31" s="89">
        <f>IF(F31=0,0,F31/'Primary Input'!$J$21)</f>
        <v>0</v>
      </c>
      <c r="H31" s="875"/>
      <c r="I31" s="89">
        <f>IF(H31=0,0,H31/'Primary Input'!$J$21)</f>
        <v>0</v>
      </c>
      <c r="J31" s="875"/>
      <c r="K31" s="89">
        <f>IF(J31=0,0,J31/'Primary Input'!$J$21)</f>
        <v>0</v>
      </c>
      <c r="L31" s="875"/>
      <c r="M31" s="89">
        <f>IF(L31=0,0,L31/'Primary Input'!$J$21)</f>
        <v>0</v>
      </c>
      <c r="N31" s="875"/>
      <c r="O31" s="89">
        <f>IF(N31=0,0,N31/'Primary Input'!$J$21)</f>
        <v>0</v>
      </c>
      <c r="P31" s="875"/>
      <c r="Q31" s="89">
        <f>IF(P31=0,0,P31/'Primary Input'!$J$21)</f>
        <v>0</v>
      </c>
      <c r="R31" s="875"/>
      <c r="S31" s="89">
        <f>IF(R31=0,0,R31/'Primary Input'!$J$21)</f>
        <v>0</v>
      </c>
      <c r="T31" s="875"/>
      <c r="U31" s="89">
        <f>IF(T31=0,0,T31/'Primary Input'!$J$21)</f>
        <v>0</v>
      </c>
      <c r="V31" s="875"/>
      <c r="W31" s="89">
        <f>IF(V31=0,0,V31/'Primary Input'!$J$21)</f>
        <v>0</v>
      </c>
      <c r="X31" s="875"/>
      <c r="Y31" s="89">
        <f>IF(X31=0,0,X31/'Primary Input'!$J$21)</f>
        <v>0</v>
      </c>
      <c r="Z31" s="875"/>
      <c r="AA31" s="89">
        <f>IF(Z31=0,0,Z31/'Primary Input'!$J$21)</f>
        <v>0</v>
      </c>
      <c r="AB31" s="875"/>
      <c r="AC31" s="89">
        <f>IF(AB31=0,0,AB31/'Primary Input'!$J$21)</f>
        <v>0</v>
      </c>
      <c r="AD31" s="875"/>
      <c r="AE31" s="89">
        <f>IF(AD31=0,0,AD31/'Primary Input'!$J$21)</f>
        <v>0</v>
      </c>
      <c r="AF31" s="875"/>
      <c r="AG31" s="89">
        <f>IF(AF31=0,0,AF31/'Primary Input'!$J$21)</f>
        <v>0</v>
      </c>
      <c r="AH31" s="875"/>
      <c r="AI31" s="89">
        <f>IF(AH31=0,0,AH31/'Primary Input'!$J$21)</f>
        <v>0</v>
      </c>
      <c r="AJ31" s="875"/>
      <c r="AK31" s="89">
        <f>IF(AJ31=0,0,AJ31/'Primary Input'!$J$21)</f>
        <v>0</v>
      </c>
      <c r="AL31" s="875"/>
      <c r="AM31" s="89">
        <f>IF(AL31=0,0,AL31/'Primary Input'!$J$21)</f>
        <v>0</v>
      </c>
      <c r="AN31" s="875"/>
      <c r="AO31" s="89">
        <f>IF(AN31=0,0,AN31/'Primary Input'!$J$21)</f>
        <v>0</v>
      </c>
      <c r="AP31" s="875"/>
      <c r="AQ31" s="89">
        <f>IF(AP31=0,0,AP31/'Primary Input'!$J$21)</f>
        <v>0</v>
      </c>
    </row>
    <row r="32" spans="1:43">
      <c r="A32" s="74"/>
      <c r="B32" s="80" t="s">
        <v>1220</v>
      </c>
      <c r="C32" s="874"/>
      <c r="D32" s="92">
        <f>SUM(D29:D31)</f>
        <v>0</v>
      </c>
      <c r="E32" s="93">
        <f>IF(D32=0,0,D32/'Primary Input'!$J$21)</f>
        <v>0</v>
      </c>
      <c r="F32" s="92">
        <f>SUM(F29:F31)</f>
        <v>0</v>
      </c>
      <c r="G32" s="93">
        <f>IF(F32=0,0,F32/'Primary Input'!$J$21)</f>
        <v>0</v>
      </c>
      <c r="H32" s="92">
        <f>SUM(H29:H31)</f>
        <v>0</v>
      </c>
      <c r="I32" s="93">
        <f>IF(H32=0,0,H32/'Primary Input'!$J$21)</f>
        <v>0</v>
      </c>
      <c r="J32" s="92">
        <f>SUM(J29:J31)</f>
        <v>0</v>
      </c>
      <c r="K32" s="93">
        <f>IF(J32=0,0,J32/'Primary Input'!$J$21)</f>
        <v>0</v>
      </c>
      <c r="L32" s="92">
        <f>SUM(L29:L31)</f>
        <v>0</v>
      </c>
      <c r="M32" s="93">
        <f>IF(L32=0,0,L32/'Primary Input'!$J$21)</f>
        <v>0</v>
      </c>
      <c r="N32" s="92">
        <f>SUM(N29:N31)</f>
        <v>0</v>
      </c>
      <c r="O32" s="93">
        <f>IF(N32=0,0,N32/'Primary Input'!$J$21)</f>
        <v>0</v>
      </c>
      <c r="P32" s="92">
        <f>SUM(P29:P31)</f>
        <v>0</v>
      </c>
      <c r="Q32" s="93">
        <f>IF(P32=0,0,P32/'Primary Input'!$J$21)</f>
        <v>0</v>
      </c>
      <c r="R32" s="92">
        <f>SUM(R29:R31)</f>
        <v>0</v>
      </c>
      <c r="S32" s="93">
        <f>IF(R32=0,0,R32/'Primary Input'!$J$21)</f>
        <v>0</v>
      </c>
      <c r="T32" s="92">
        <f>SUM(T29:T31)</f>
        <v>0</v>
      </c>
      <c r="U32" s="93">
        <f>IF(T32=0,0,T32/'Primary Input'!$J$21)</f>
        <v>0</v>
      </c>
      <c r="V32" s="92">
        <f>SUM(V29:V31)</f>
        <v>0</v>
      </c>
      <c r="W32" s="93">
        <f>IF(V32=0,0,V32/'Primary Input'!$J$21)</f>
        <v>0</v>
      </c>
      <c r="X32" s="92">
        <f>SUM(X29:X31)</f>
        <v>0</v>
      </c>
      <c r="Y32" s="93">
        <f>IF(X32=0,0,X32/'Primary Input'!$J$21)</f>
        <v>0</v>
      </c>
      <c r="Z32" s="92">
        <f>SUM(Z29:Z31)</f>
        <v>0</v>
      </c>
      <c r="AA32" s="93">
        <f>IF(Z32=0,0,Z32/'Primary Input'!$J$21)</f>
        <v>0</v>
      </c>
      <c r="AB32" s="92">
        <f>SUM(AB29:AB31)</f>
        <v>0</v>
      </c>
      <c r="AC32" s="93">
        <f>IF(AB32=0,0,AB32/'Primary Input'!$J$21)</f>
        <v>0</v>
      </c>
      <c r="AD32" s="92">
        <f>SUM(AD29:AD31)</f>
        <v>0</v>
      </c>
      <c r="AE32" s="93">
        <f>IF(AD32=0,0,AD32/'Primary Input'!$J$21)</f>
        <v>0</v>
      </c>
      <c r="AF32" s="92">
        <f>SUM(AF29:AF31)</f>
        <v>0</v>
      </c>
      <c r="AG32" s="93">
        <f>IF(AF32=0,0,AF32/'Primary Input'!$J$21)</f>
        <v>0</v>
      </c>
      <c r="AH32" s="92">
        <f>SUM(AH29:AH31)</f>
        <v>0</v>
      </c>
      <c r="AI32" s="93">
        <f>IF(AH32=0,0,AH32/'Primary Input'!$J$21)</f>
        <v>0</v>
      </c>
      <c r="AJ32" s="92">
        <f>SUM(AJ29:AJ31)</f>
        <v>0</v>
      </c>
      <c r="AK32" s="93">
        <f>IF(AJ32=0,0,AJ32/'Primary Input'!$J$21)</f>
        <v>0</v>
      </c>
      <c r="AL32" s="92">
        <f>SUM(AL29:AL31)</f>
        <v>0</v>
      </c>
      <c r="AM32" s="93">
        <f>IF(AL32=0,0,AL32/'Primary Input'!$J$21)</f>
        <v>0</v>
      </c>
      <c r="AN32" s="92">
        <f>SUM(AN29:AN31)</f>
        <v>0</v>
      </c>
      <c r="AO32" s="93">
        <f>IF(AN32=0,0,AN32/'Primary Input'!$J$21)</f>
        <v>0</v>
      </c>
      <c r="AP32" s="92">
        <f>SUM(AP29:AP31)</f>
        <v>0</v>
      </c>
      <c r="AQ32" s="93">
        <f>IF(AP32=0,0,AP32/'Primary Input'!$J$21)</f>
        <v>0</v>
      </c>
    </row>
    <row r="33" spans="1:46">
      <c r="A33" s="74"/>
      <c r="B33" s="72" t="str">
        <f>+'Pro Forma Calculation'!B92</f>
        <v/>
      </c>
      <c r="C33" s="874"/>
      <c r="D33" s="91">
        <f>+'Pro Forma Calculation'!$F92</f>
        <v>0</v>
      </c>
      <c r="E33" s="89">
        <f>IF(D33=0,0,D33/'Primary Input'!$J$21)</f>
        <v>0</v>
      </c>
      <c r="F33" s="88">
        <f>+'Pro Forma Calculation'!$F92</f>
        <v>0</v>
      </c>
      <c r="G33" s="89">
        <f>IF(F33=0,0,F33/'Primary Input'!$J$21)</f>
        <v>0</v>
      </c>
      <c r="H33" s="88">
        <f>+'Pro Forma Calculation'!$F92</f>
        <v>0</v>
      </c>
      <c r="I33" s="89">
        <f>IF(H33=0,0,H33/'Primary Input'!$J$21)</f>
        <v>0</v>
      </c>
      <c r="J33" s="88">
        <f>+'Pro Forma Calculation'!$F92</f>
        <v>0</v>
      </c>
      <c r="K33" s="89">
        <f>IF(J33=0,0,J33/'Primary Input'!$J$21)</f>
        <v>0</v>
      </c>
      <c r="L33" s="88">
        <f>+'Pro Forma Calculation'!$F92</f>
        <v>0</v>
      </c>
      <c r="M33" s="89">
        <f>IF(L33=0,0,L33/'Primary Input'!$J$21)</f>
        <v>0</v>
      </c>
      <c r="N33" s="88">
        <f>+'Pro Forma Calculation'!$F92</f>
        <v>0</v>
      </c>
      <c r="O33" s="89">
        <f>IF(N33=0,0,N33/'Primary Input'!$J$21)</f>
        <v>0</v>
      </c>
      <c r="P33" s="88">
        <f>+'Pro Forma Calculation'!$F92</f>
        <v>0</v>
      </c>
      <c r="Q33" s="89">
        <f>IF(P33=0,0,P33/'Primary Input'!$J$21)</f>
        <v>0</v>
      </c>
      <c r="R33" s="88">
        <f>+'Pro Forma Calculation'!$F92</f>
        <v>0</v>
      </c>
      <c r="S33" s="89">
        <f>IF(R33=0,0,R33/'Primary Input'!$J$21)</f>
        <v>0</v>
      </c>
      <c r="T33" s="88">
        <f>+'Pro Forma Calculation'!$F92</f>
        <v>0</v>
      </c>
      <c r="U33" s="89">
        <f>IF(T33=0,0,T33/'Primary Input'!$J$21)</f>
        <v>0</v>
      </c>
      <c r="V33" s="88">
        <f>+'Pro Forma Calculation'!$F92</f>
        <v>0</v>
      </c>
      <c r="W33" s="89">
        <f>IF(V33=0,0,V33/'Primary Input'!$J$21)</f>
        <v>0</v>
      </c>
      <c r="X33" s="88">
        <f>+'Pro Forma Calculation'!$F92</f>
        <v>0</v>
      </c>
      <c r="Y33" s="89">
        <f>IF(X33=0,0,X33/'Primary Input'!$J$21)</f>
        <v>0</v>
      </c>
      <c r="Z33" s="88">
        <f>+'Pro Forma Calculation'!$F92</f>
        <v>0</v>
      </c>
      <c r="AA33" s="89">
        <f>IF(Z33=0,0,Z33/'Primary Input'!$J$21)</f>
        <v>0</v>
      </c>
      <c r="AB33" s="88">
        <f>+'Pro Forma Calculation'!$F92</f>
        <v>0</v>
      </c>
      <c r="AC33" s="89">
        <f>IF(AB33=0,0,AB33/'Primary Input'!$J$21)</f>
        <v>0</v>
      </c>
      <c r="AD33" s="88">
        <f>+'Pro Forma Calculation'!$F92</f>
        <v>0</v>
      </c>
      <c r="AE33" s="89">
        <f>IF(AD33=0,0,AD33/'Primary Input'!$J$21)</f>
        <v>0</v>
      </c>
      <c r="AF33" s="88">
        <f>+'Pro Forma Calculation'!$F92</f>
        <v>0</v>
      </c>
      <c r="AG33" s="89">
        <f>IF(AF33=0,0,AF33/'Primary Input'!$J$21)</f>
        <v>0</v>
      </c>
      <c r="AH33" s="90"/>
      <c r="AI33" s="93"/>
      <c r="AJ33" s="92"/>
      <c r="AK33" s="93"/>
      <c r="AL33" s="90"/>
      <c r="AM33" s="93"/>
      <c r="AN33" s="90"/>
      <c r="AO33" s="93"/>
      <c r="AP33" s="90"/>
      <c r="AQ33" s="93"/>
    </row>
    <row r="34" spans="1:46" ht="14" thickBot="1">
      <c r="A34" s="63"/>
      <c r="B34" s="72"/>
      <c r="C34" s="73"/>
      <c r="D34" s="88"/>
      <c r="E34" s="89"/>
      <c r="F34" s="88"/>
      <c r="G34" s="89"/>
      <c r="H34" s="88"/>
      <c r="I34" s="89"/>
      <c r="J34" s="88"/>
      <c r="K34" s="89"/>
      <c r="L34" s="91"/>
      <c r="M34" s="89"/>
      <c r="N34" s="88"/>
      <c r="O34" s="89"/>
      <c r="P34" s="88"/>
      <c r="Q34" s="89"/>
      <c r="R34" s="88"/>
      <c r="S34" s="89"/>
      <c r="T34" s="88"/>
      <c r="U34" s="89"/>
      <c r="V34" s="88"/>
      <c r="W34" s="89"/>
      <c r="X34" s="91"/>
      <c r="Y34" s="89"/>
      <c r="Z34" s="88"/>
      <c r="AA34" s="89"/>
      <c r="AB34" s="88"/>
      <c r="AC34" s="89"/>
      <c r="AD34" s="88"/>
      <c r="AE34" s="89"/>
      <c r="AF34" s="88"/>
      <c r="AG34" s="89"/>
      <c r="AH34" s="88"/>
      <c r="AI34" s="89"/>
      <c r="AJ34" s="91"/>
      <c r="AK34" s="89"/>
      <c r="AL34" s="88"/>
      <c r="AM34" s="89"/>
      <c r="AN34" s="88"/>
      <c r="AO34" s="89"/>
      <c r="AP34" s="88"/>
      <c r="AQ34" s="89"/>
    </row>
    <row r="35" spans="1:46" ht="16" thickTop="1" thickBot="1">
      <c r="A35" s="74"/>
      <c r="B35" s="132" t="s">
        <v>960</v>
      </c>
      <c r="C35" s="133"/>
      <c r="D35" s="134" t="e">
        <f>+D26-D32-D33</f>
        <v>#N/A</v>
      </c>
      <c r="E35" s="135" t="e">
        <f>IF(D35=0,0,D35/'Primary Input'!$J$21)</f>
        <v>#N/A</v>
      </c>
      <c r="F35" s="134" t="e">
        <f>+F26-F32-F33</f>
        <v>#N/A</v>
      </c>
      <c r="G35" s="135" t="e">
        <f>IF(F35=0,0,F35/'Primary Input'!$J$21)</f>
        <v>#N/A</v>
      </c>
      <c r="H35" s="134" t="e">
        <f>+H26-H32-H33</f>
        <v>#N/A</v>
      </c>
      <c r="I35" s="135" t="e">
        <f>IF(H35=0,0,H35/'Primary Input'!$J$21)</f>
        <v>#N/A</v>
      </c>
      <c r="J35" s="134" t="e">
        <f>+J26-J32-J33</f>
        <v>#N/A</v>
      </c>
      <c r="K35" s="135" t="e">
        <f>IF(J35=0,0,J35/'Primary Input'!$J$21)</f>
        <v>#N/A</v>
      </c>
      <c r="L35" s="134" t="e">
        <f>+L26-L32-L33</f>
        <v>#N/A</v>
      </c>
      <c r="M35" s="135" t="e">
        <f>IF(L35=0,0,L35/'Primary Input'!$J$21)</f>
        <v>#N/A</v>
      </c>
      <c r="N35" s="134" t="e">
        <f>+N26-N32-N33</f>
        <v>#N/A</v>
      </c>
      <c r="O35" s="135" t="e">
        <f>IF(N35=0,0,N35/'Primary Input'!$J$21)</f>
        <v>#N/A</v>
      </c>
      <c r="P35" s="134" t="e">
        <f>+P26-P32-P33</f>
        <v>#N/A</v>
      </c>
      <c r="Q35" s="135" t="e">
        <f>IF(P35=0,0,P35/'Primary Input'!$J$21)</f>
        <v>#N/A</v>
      </c>
      <c r="R35" s="134" t="e">
        <f>+R26-R32-R33</f>
        <v>#N/A</v>
      </c>
      <c r="S35" s="135" t="e">
        <f>IF(R35=0,0,R35/'Primary Input'!$J$21)</f>
        <v>#N/A</v>
      </c>
      <c r="T35" s="134" t="e">
        <f>+T26-T32-T33</f>
        <v>#N/A</v>
      </c>
      <c r="U35" s="135" t="e">
        <f>IF(T35=0,0,T35/'Primary Input'!$J$21)</f>
        <v>#N/A</v>
      </c>
      <c r="V35" s="134" t="e">
        <f>+V26-V32-V33</f>
        <v>#N/A</v>
      </c>
      <c r="W35" s="135" t="e">
        <f>IF(V35=0,0,V35/'Primary Input'!$J$21)</f>
        <v>#N/A</v>
      </c>
      <c r="X35" s="134" t="e">
        <f>+X26-X32-X33</f>
        <v>#N/A</v>
      </c>
      <c r="Y35" s="135" t="e">
        <f>IF(X35=0,0,X35/'Primary Input'!$J$21)</f>
        <v>#N/A</v>
      </c>
      <c r="Z35" s="134" t="e">
        <f>+Z26-Z32-Z33</f>
        <v>#N/A</v>
      </c>
      <c r="AA35" s="135" t="e">
        <f>IF(Z35=0,0,Z35/'Primary Input'!$J$21)</f>
        <v>#N/A</v>
      </c>
      <c r="AB35" s="134" t="e">
        <f>+AB26-AB32-AB33</f>
        <v>#N/A</v>
      </c>
      <c r="AC35" s="135" t="e">
        <f>IF(AB35=0,0,AB35/'Primary Input'!$J$21)</f>
        <v>#N/A</v>
      </c>
      <c r="AD35" s="134" t="e">
        <f>+AD26-AD32-AD33</f>
        <v>#N/A</v>
      </c>
      <c r="AE35" s="135" t="e">
        <f>IF(AD35=0,0,AD35/'Primary Input'!$J$21)</f>
        <v>#N/A</v>
      </c>
      <c r="AF35" s="134" t="e">
        <f>+AF26-AF32-AF33</f>
        <v>#N/A</v>
      </c>
      <c r="AG35" s="135" t="e">
        <f>IF(AF35=0,0,AF35/'Primary Input'!$J$21)</f>
        <v>#N/A</v>
      </c>
      <c r="AH35" s="134" t="e">
        <f>+AH26-AH32-AH33</f>
        <v>#N/A</v>
      </c>
      <c r="AI35" s="135" t="e">
        <f>IF(AH35=0,0,AH35/'Primary Input'!$J$21)</f>
        <v>#N/A</v>
      </c>
      <c r="AJ35" s="153" t="e">
        <f>+AJ26-AJ32</f>
        <v>#N/A</v>
      </c>
      <c r="AK35" s="135" t="e">
        <f>IF(AJ35=0,0,AJ35/'Primary Input'!$J$21)</f>
        <v>#N/A</v>
      </c>
      <c r="AL35" s="134" t="e">
        <f>+AL26-AL32</f>
        <v>#N/A</v>
      </c>
      <c r="AM35" s="135" t="e">
        <f>IF(AL35=0,0,AL35/'Primary Input'!$J$21)</f>
        <v>#N/A</v>
      </c>
      <c r="AN35" s="134" t="e">
        <f>+AN26-AN32</f>
        <v>#N/A</v>
      </c>
      <c r="AO35" s="135" t="e">
        <f>IF(AN35=0,0,AN35/'Primary Input'!$J$21)</f>
        <v>#N/A</v>
      </c>
      <c r="AP35" s="134" t="e">
        <f>+AP26-AP32</f>
        <v>#N/A</v>
      </c>
      <c r="AQ35" s="135" t="e">
        <f>IF(AP35=0,0,AP35/'Primary Input'!$J$21)</f>
        <v>#N/A</v>
      </c>
    </row>
    <row r="36" spans="1:46" ht="16" thickTop="1" thickBot="1">
      <c r="A36" s="63"/>
      <c r="B36" s="132" t="s">
        <v>1538</v>
      </c>
      <c r="C36" s="133"/>
      <c r="D36" s="1516" t="e">
        <f>+D35</f>
        <v>#N/A</v>
      </c>
      <c r="E36" s="1517"/>
      <c r="F36" s="1516" t="e">
        <f>+D36+F35</f>
        <v>#N/A</v>
      </c>
      <c r="G36" s="1517"/>
      <c r="H36" s="1516" t="e">
        <f>+F36+H35</f>
        <v>#N/A</v>
      </c>
      <c r="I36" s="1517"/>
      <c r="J36" s="1516" t="e">
        <f>+H36+J35</f>
        <v>#N/A</v>
      </c>
      <c r="K36" s="1517"/>
      <c r="L36" s="1516" t="e">
        <f>+J36+L35</f>
        <v>#N/A</v>
      </c>
      <c r="M36" s="1517"/>
      <c r="N36" s="1516" t="e">
        <f>+L36+N35</f>
        <v>#N/A</v>
      </c>
      <c r="O36" s="1517"/>
      <c r="P36" s="1516" t="e">
        <f>+N36+P35</f>
        <v>#N/A</v>
      </c>
      <c r="Q36" s="1517"/>
      <c r="R36" s="1516" t="e">
        <f>+P36+R35</f>
        <v>#N/A</v>
      </c>
      <c r="S36" s="1517"/>
      <c r="T36" s="1516" t="e">
        <f>+R36+T35</f>
        <v>#N/A</v>
      </c>
      <c r="U36" s="1517"/>
      <c r="V36" s="1516" t="e">
        <f>+T36+V35</f>
        <v>#N/A</v>
      </c>
      <c r="W36" s="1517"/>
      <c r="X36" s="1516" t="e">
        <f>+V36+X35</f>
        <v>#N/A</v>
      </c>
      <c r="Y36" s="1517"/>
      <c r="Z36" s="1516" t="e">
        <f>+X36+Z35</f>
        <v>#N/A</v>
      </c>
      <c r="AA36" s="1517"/>
      <c r="AB36" s="1516" t="e">
        <f>+Z36+AB35</f>
        <v>#N/A</v>
      </c>
      <c r="AC36" s="1517"/>
      <c r="AD36" s="1516" t="e">
        <f>+AB36+AD35</f>
        <v>#N/A</v>
      </c>
      <c r="AE36" s="1517"/>
      <c r="AF36" s="1516" t="e">
        <f>+AD36+AF35</f>
        <v>#N/A</v>
      </c>
      <c r="AG36" s="1517"/>
      <c r="AH36" s="1516" t="e">
        <f>+AF36+AH35</f>
        <v>#N/A</v>
      </c>
      <c r="AI36" s="1517"/>
      <c r="AJ36" s="1516" t="e">
        <f>+AH36+AJ35</f>
        <v>#N/A</v>
      </c>
      <c r="AK36" s="1517"/>
      <c r="AL36" s="1516" t="e">
        <f>+AJ36+AL35</f>
        <v>#N/A</v>
      </c>
      <c r="AM36" s="1517"/>
      <c r="AN36" s="1516" t="e">
        <f>+AL36+AN35</f>
        <v>#N/A</v>
      </c>
      <c r="AO36" s="1517"/>
      <c r="AP36" s="1516" t="e">
        <f>+AN36+AP35</f>
        <v>#N/A</v>
      </c>
      <c r="AQ36" s="1517"/>
    </row>
    <row r="37" spans="1:46" ht="26.25" customHeight="1" thickTop="1">
      <c r="A37" s="63"/>
      <c r="B37" s="24" t="str">
        <f>+'Pro Forma Calculation'!B93</f>
        <v>HOME/CDBG DEBT SERVICE</v>
      </c>
      <c r="C37" s="73"/>
      <c r="D37" s="1512" t="e">
        <f>+D35*'Pro Forma Calculation'!$D93</f>
        <v>#N/A</v>
      </c>
      <c r="E37" s="1513"/>
      <c r="F37" s="1512" t="e">
        <f>+F35*'Pro Forma Calculation'!$D93</f>
        <v>#N/A</v>
      </c>
      <c r="G37" s="1513"/>
      <c r="H37" s="1512" t="e">
        <f>+H35*'Pro Forma Calculation'!$D93</f>
        <v>#N/A</v>
      </c>
      <c r="I37" s="1513"/>
      <c r="J37" s="1512" t="e">
        <f>+J35*'Pro Forma Calculation'!$D93</f>
        <v>#N/A</v>
      </c>
      <c r="K37" s="1513"/>
      <c r="L37" s="1512" t="e">
        <f>+L35*'Pro Forma Calculation'!$D93</f>
        <v>#N/A</v>
      </c>
      <c r="M37" s="1513"/>
      <c r="N37" s="1512" t="e">
        <f>+N35*'Pro Forma Calculation'!$D93</f>
        <v>#N/A</v>
      </c>
      <c r="O37" s="1513"/>
      <c r="P37" s="1512" t="e">
        <f>+P35*'Pro Forma Calculation'!$D93</f>
        <v>#N/A</v>
      </c>
      <c r="Q37" s="1513"/>
      <c r="R37" s="1512" t="e">
        <f>+R35*'Pro Forma Calculation'!$D93</f>
        <v>#N/A</v>
      </c>
      <c r="S37" s="1513"/>
      <c r="T37" s="1512" t="e">
        <f>+T35*'Pro Forma Calculation'!$D93</f>
        <v>#N/A</v>
      </c>
      <c r="U37" s="1513"/>
      <c r="V37" s="1512" t="e">
        <f>+V35*'Pro Forma Calculation'!$D93</f>
        <v>#N/A</v>
      </c>
      <c r="W37" s="1513"/>
      <c r="X37" s="1512" t="e">
        <f>+X35*'Pro Forma Calculation'!$D93</f>
        <v>#N/A</v>
      </c>
      <c r="Y37" s="1513"/>
      <c r="Z37" s="1512" t="e">
        <f>+Z35*'Pro Forma Calculation'!$D93</f>
        <v>#N/A</v>
      </c>
      <c r="AA37" s="1513"/>
      <c r="AB37" s="1512" t="e">
        <f>+AB35*'Pro Forma Calculation'!$D93</f>
        <v>#N/A</v>
      </c>
      <c r="AC37" s="1513"/>
      <c r="AD37" s="1512" t="e">
        <f>+AD35*'Pro Forma Calculation'!$D93</f>
        <v>#N/A</v>
      </c>
      <c r="AE37" s="1513"/>
      <c r="AF37" s="1512" t="e">
        <f>+AF35*'Pro Forma Calculation'!$D93</f>
        <v>#N/A</v>
      </c>
      <c r="AG37" s="1513"/>
      <c r="AH37" s="1512" t="e">
        <f>+AH35*'Pro Forma Calculation'!$D93</f>
        <v>#N/A</v>
      </c>
      <c r="AI37" s="1513"/>
      <c r="AJ37" s="1512" t="e">
        <f>+AJ35*'Pro Forma Calculation'!$D93</f>
        <v>#N/A</v>
      </c>
      <c r="AK37" s="1513"/>
      <c r="AL37" s="1512" t="e">
        <f>+AL35*'Pro Forma Calculation'!$D93</f>
        <v>#N/A</v>
      </c>
      <c r="AM37" s="1513"/>
      <c r="AN37" s="1512" t="e">
        <f>+AN35*'Pro Forma Calculation'!$D93</f>
        <v>#N/A</v>
      </c>
      <c r="AO37" s="1513"/>
      <c r="AP37" s="1512" t="e">
        <f>+AP35*'Pro Forma Calculation'!$D93</f>
        <v>#N/A</v>
      </c>
      <c r="AQ37" s="1513"/>
      <c r="AT37" s="434" t="e">
        <f>(+'Loan Information'!E$9-20)*AP37</f>
        <v>#N/A</v>
      </c>
    </row>
    <row r="38" spans="1:46">
      <c r="A38" s="63"/>
      <c r="B38" s="54" t="s">
        <v>1300</v>
      </c>
      <c r="C38" s="73"/>
      <c r="D38" s="1512" t="e">
        <f>+D35-D37</f>
        <v>#N/A</v>
      </c>
      <c r="E38" s="1513"/>
      <c r="F38" s="1512" t="e">
        <f>+F35-F37</f>
        <v>#N/A</v>
      </c>
      <c r="G38" s="1513"/>
      <c r="H38" s="1512" t="e">
        <f>+H35-H37</f>
        <v>#N/A</v>
      </c>
      <c r="I38" s="1513"/>
      <c r="J38" s="1512" t="e">
        <f>+J35-J37</f>
        <v>#N/A</v>
      </c>
      <c r="K38" s="1513"/>
      <c r="L38" s="1512" t="e">
        <f>+L35-L37</f>
        <v>#N/A</v>
      </c>
      <c r="M38" s="1513"/>
      <c r="N38" s="1512" t="e">
        <f>+N35-N37</f>
        <v>#N/A</v>
      </c>
      <c r="O38" s="1513"/>
      <c r="P38" s="1512" t="e">
        <f>+P35-P37</f>
        <v>#N/A</v>
      </c>
      <c r="Q38" s="1513"/>
      <c r="R38" s="1512" t="e">
        <f>+R35-R37</f>
        <v>#N/A</v>
      </c>
      <c r="S38" s="1513"/>
      <c r="T38" s="1512" t="e">
        <f>+T35-T37</f>
        <v>#N/A</v>
      </c>
      <c r="U38" s="1513"/>
      <c r="V38" s="1512" t="e">
        <f>+V35-V37</f>
        <v>#N/A</v>
      </c>
      <c r="W38" s="1513"/>
      <c r="X38" s="1512" t="e">
        <f>+X35-X37</f>
        <v>#N/A</v>
      </c>
      <c r="Y38" s="1513"/>
      <c r="Z38" s="1512" t="e">
        <f>+Z35-Z37</f>
        <v>#N/A</v>
      </c>
      <c r="AA38" s="1513"/>
      <c r="AB38" s="1512" t="e">
        <f>+AB35-AB37</f>
        <v>#N/A</v>
      </c>
      <c r="AC38" s="1513"/>
      <c r="AD38" s="1512" t="e">
        <f>+AD35-AD37</f>
        <v>#N/A</v>
      </c>
      <c r="AE38" s="1513"/>
      <c r="AF38" s="1512" t="e">
        <f>+AF35-AF37</f>
        <v>#N/A</v>
      </c>
      <c r="AG38" s="1513"/>
      <c r="AH38" s="1512" t="e">
        <f>+AH35-AH37</f>
        <v>#N/A</v>
      </c>
      <c r="AI38" s="1513"/>
      <c r="AJ38" s="1512" t="e">
        <f>+AJ35-AJ37</f>
        <v>#N/A</v>
      </c>
      <c r="AK38" s="1513"/>
      <c r="AL38" s="1512" t="e">
        <f>+AL35-AL37</f>
        <v>#N/A</v>
      </c>
      <c r="AM38" s="1513"/>
      <c r="AN38" s="1512" t="e">
        <f>+AN35-AN37</f>
        <v>#N/A</v>
      </c>
      <c r="AO38" s="1513"/>
      <c r="AP38" s="1512" t="e">
        <f>+AP35-AP37</f>
        <v>#N/A</v>
      </c>
      <c r="AQ38" s="1513"/>
      <c r="AT38" s="163"/>
    </row>
    <row r="39" spans="1:46">
      <c r="A39" s="63"/>
      <c r="B39" s="83"/>
      <c r="C39" s="73"/>
      <c r="D39" s="97"/>
      <c r="E39" s="96"/>
      <c r="F39" s="97"/>
      <c r="G39" s="96"/>
      <c r="H39" s="97"/>
      <c r="I39" s="96"/>
      <c r="J39" s="97"/>
      <c r="K39" s="96"/>
      <c r="L39" s="97"/>
      <c r="M39" s="96"/>
      <c r="N39" s="97"/>
      <c r="O39" s="96"/>
      <c r="P39" s="97"/>
      <c r="Q39" s="96"/>
      <c r="R39" s="97"/>
      <c r="S39" s="96"/>
      <c r="T39" s="97"/>
      <c r="U39" s="96"/>
      <c r="V39" s="97"/>
      <c r="W39" s="96"/>
      <c r="X39" s="97"/>
      <c r="Y39" s="96"/>
      <c r="Z39" s="97"/>
      <c r="AA39" s="96"/>
      <c r="AB39" s="97"/>
      <c r="AC39" s="96"/>
      <c r="AD39" s="97"/>
      <c r="AE39" s="96"/>
      <c r="AF39" s="97"/>
      <c r="AG39" s="96"/>
      <c r="AH39" s="97"/>
      <c r="AI39" s="96"/>
      <c r="AJ39" s="97"/>
      <c r="AK39" s="96"/>
      <c r="AL39" s="97"/>
      <c r="AM39" s="96"/>
      <c r="AN39" s="97"/>
      <c r="AO39" s="96"/>
      <c r="AP39" s="97"/>
      <c r="AQ39" s="96"/>
    </row>
    <row r="40" spans="1:46">
      <c r="A40" s="63"/>
      <c r="B40" s="80" t="s">
        <v>1221</v>
      </c>
      <c r="C40" s="73"/>
      <c r="D40" s="97"/>
      <c r="E40" s="96"/>
      <c r="F40" s="97"/>
      <c r="G40" s="96"/>
      <c r="H40" s="97"/>
      <c r="I40" s="96"/>
      <c r="J40" s="97"/>
      <c r="K40" s="96"/>
      <c r="L40" s="97"/>
      <c r="M40" s="96"/>
      <c r="N40" s="97"/>
      <c r="O40" s="96"/>
      <c r="P40" s="97"/>
      <c r="Q40" s="96"/>
      <c r="R40" s="97"/>
      <c r="S40" s="96"/>
      <c r="T40" s="97"/>
      <c r="U40" s="96"/>
      <c r="V40" s="97"/>
      <c r="W40" s="96"/>
      <c r="X40" s="97"/>
      <c r="Y40" s="96"/>
      <c r="Z40" s="97"/>
      <c r="AA40" s="96"/>
      <c r="AB40" s="97"/>
      <c r="AC40" s="96"/>
      <c r="AD40" s="97"/>
      <c r="AE40" s="96"/>
      <c r="AF40" s="97"/>
      <c r="AG40" s="96"/>
      <c r="AH40" s="97"/>
      <c r="AI40" s="96"/>
      <c r="AJ40" s="97"/>
      <c r="AK40" s="96"/>
      <c r="AL40" s="97"/>
      <c r="AM40" s="96"/>
      <c r="AN40" s="97"/>
      <c r="AO40" s="96"/>
      <c r="AP40" s="97"/>
      <c r="AQ40" s="96"/>
    </row>
    <row r="41" spans="1:46">
      <c r="A41" s="63"/>
      <c r="B41" s="72" t="s">
        <v>961</v>
      </c>
      <c r="C41" s="73"/>
      <c r="D41" s="1508">
        <f>IF(D29=0,0,+D26/D29)</f>
        <v>0</v>
      </c>
      <c r="E41" s="1509"/>
      <c r="F41" s="1508">
        <f>IF(F29=0,0,+F26/F29)</f>
        <v>0</v>
      </c>
      <c r="G41" s="1509"/>
      <c r="H41" s="1508">
        <f>IF(H29=0,0,+H26/H29)</f>
        <v>0</v>
      </c>
      <c r="I41" s="1509"/>
      <c r="J41" s="1508">
        <f>IF(J29=0,0,+J26/J29)</f>
        <v>0</v>
      </c>
      <c r="K41" s="1509"/>
      <c r="L41" s="1508">
        <f>IF(L29=0,0,+L26/L29)</f>
        <v>0</v>
      </c>
      <c r="M41" s="1509"/>
      <c r="N41" s="1508">
        <f>IF(N29=0,0,+N26/N29)</f>
        <v>0</v>
      </c>
      <c r="O41" s="1509"/>
      <c r="P41" s="1508">
        <f>IF(P29=0,0,+P26/P29)</f>
        <v>0</v>
      </c>
      <c r="Q41" s="1509"/>
      <c r="R41" s="1508">
        <f>IF(R29=0,0,+R26/R29)</f>
        <v>0</v>
      </c>
      <c r="S41" s="1509"/>
      <c r="T41" s="1508">
        <f>IF(T29=0,0,+T26/T29)</f>
        <v>0</v>
      </c>
      <c r="U41" s="1509"/>
      <c r="V41" s="1508">
        <f>IF(V29=0,0,+V26/V29)</f>
        <v>0</v>
      </c>
      <c r="W41" s="1509"/>
      <c r="X41" s="1508">
        <f>IF(X29=0,0,+X26/X29)</f>
        <v>0</v>
      </c>
      <c r="Y41" s="1509"/>
      <c r="Z41" s="1508">
        <f>IF(Z29=0,0,+Z26/Z29)</f>
        <v>0</v>
      </c>
      <c r="AA41" s="1509"/>
      <c r="AB41" s="1508">
        <f>IF(AB29=0,0,+AB26/AB29)</f>
        <v>0</v>
      </c>
      <c r="AC41" s="1509"/>
      <c r="AD41" s="1508">
        <f>IF(AD29=0,0,+AD26/AD29)</f>
        <v>0</v>
      </c>
      <c r="AE41" s="1509"/>
      <c r="AF41" s="1508">
        <f>IF(AF29=0,0,+AF26/AF29)</f>
        <v>0</v>
      </c>
      <c r="AG41" s="1509"/>
      <c r="AH41" s="1508">
        <f>IF(AH29=0,0,+AH26/AH29)</f>
        <v>0</v>
      </c>
      <c r="AI41" s="1509"/>
      <c r="AJ41" s="1508">
        <f>IF(AJ29=0,0,+AJ26/AJ29)</f>
        <v>0</v>
      </c>
      <c r="AK41" s="1509"/>
      <c r="AL41" s="1508">
        <f>IF(AL29=0,0,+AL26/AL29)</f>
        <v>0</v>
      </c>
      <c r="AM41" s="1509"/>
      <c r="AN41" s="1508">
        <f>IF(AN29=0,0,+AN26/AN29)</f>
        <v>0</v>
      </c>
      <c r="AO41" s="1509"/>
      <c r="AP41" s="1508">
        <f>IF(AP29=0,0,+AP26/AP29)</f>
        <v>0</v>
      </c>
      <c r="AQ41" s="1509"/>
    </row>
    <row r="42" spans="1:46">
      <c r="A42" s="63"/>
      <c r="B42" s="72" t="s">
        <v>962</v>
      </c>
      <c r="C42" s="73"/>
      <c r="D42" s="1508">
        <f>IF(D32=0,0,+D26/D32)</f>
        <v>0</v>
      </c>
      <c r="E42" s="1509"/>
      <c r="F42" s="1508">
        <f>IF(F32=0,0,+F26/F32)</f>
        <v>0</v>
      </c>
      <c r="G42" s="1509"/>
      <c r="H42" s="1508">
        <f>IF(H32=0,0,+H26/H32)</f>
        <v>0</v>
      </c>
      <c r="I42" s="1509"/>
      <c r="J42" s="1508">
        <f>IF(J32=0,0,+J26/J32)</f>
        <v>0</v>
      </c>
      <c r="K42" s="1509"/>
      <c r="L42" s="1508">
        <f>IF(L32=0,0,+L26/L32)</f>
        <v>0</v>
      </c>
      <c r="M42" s="1509"/>
      <c r="N42" s="1508">
        <f>IF(N32=0,0,+N26/N32)</f>
        <v>0</v>
      </c>
      <c r="O42" s="1509"/>
      <c r="P42" s="1508">
        <f>IF(P32=0,0,+P26/P32)</f>
        <v>0</v>
      </c>
      <c r="Q42" s="1509"/>
      <c r="R42" s="1508">
        <f>IF(R32=0,0,+R26/R32)</f>
        <v>0</v>
      </c>
      <c r="S42" s="1509"/>
      <c r="T42" s="1508">
        <f>IF(T32=0,0,+T26/T32)</f>
        <v>0</v>
      </c>
      <c r="U42" s="1509"/>
      <c r="V42" s="1508">
        <f>IF(V32=0,0,+V26/V32)</f>
        <v>0</v>
      </c>
      <c r="W42" s="1509"/>
      <c r="X42" s="1508">
        <f>IF(X32=0,0,+X26/X32)</f>
        <v>0</v>
      </c>
      <c r="Y42" s="1509"/>
      <c r="Z42" s="1508">
        <f>IF(Z32=0,0,+Z26/Z32)</f>
        <v>0</v>
      </c>
      <c r="AA42" s="1509"/>
      <c r="AB42" s="1508">
        <f>IF(AB32=0,0,+AB26/AB32)</f>
        <v>0</v>
      </c>
      <c r="AC42" s="1509"/>
      <c r="AD42" s="1508">
        <f>IF(AD32=0,0,+AD26/AD32)</f>
        <v>0</v>
      </c>
      <c r="AE42" s="1509"/>
      <c r="AF42" s="1508">
        <f>IF(AF32=0,0,+AF26/AF32)</f>
        <v>0</v>
      </c>
      <c r="AG42" s="1509"/>
      <c r="AH42" s="1508">
        <f>IF(AH32=0,0,+AH26/AH32)</f>
        <v>0</v>
      </c>
      <c r="AI42" s="1509"/>
      <c r="AJ42" s="1508">
        <f>IF(AJ32=0,0,+AJ26/AJ32)</f>
        <v>0</v>
      </c>
      <c r="AK42" s="1509"/>
      <c r="AL42" s="1508">
        <f>IF(AL32=0,0,+AL26/AL32)</f>
        <v>0</v>
      </c>
      <c r="AM42" s="1509"/>
      <c r="AN42" s="1508">
        <f>IF(AN32=0,0,+AN26/AN32)</f>
        <v>0</v>
      </c>
      <c r="AO42" s="1509"/>
      <c r="AP42" s="1508">
        <f>IF(AP32=0,0,+AP26/AP32)</f>
        <v>0</v>
      </c>
      <c r="AQ42" s="1509"/>
    </row>
    <row r="43" spans="1:46">
      <c r="A43" s="63"/>
      <c r="B43" s="72"/>
      <c r="C43" s="73"/>
      <c r="D43" s="97"/>
      <c r="E43" s="96"/>
      <c r="F43" s="97"/>
      <c r="G43" s="96"/>
      <c r="H43" s="97"/>
      <c r="I43" s="96"/>
      <c r="J43" s="97"/>
      <c r="K43" s="96"/>
      <c r="L43" s="97"/>
      <c r="M43" s="96"/>
      <c r="N43" s="97"/>
      <c r="O43" s="96"/>
      <c r="P43" s="97"/>
      <c r="Q43" s="96"/>
      <c r="R43" s="97"/>
      <c r="S43" s="96"/>
      <c r="T43" s="97"/>
      <c r="U43" s="96"/>
      <c r="V43" s="97"/>
      <c r="W43" s="96"/>
      <c r="X43" s="97"/>
      <c r="Y43" s="96"/>
      <c r="Z43" s="97"/>
      <c r="AA43" s="96"/>
      <c r="AB43" s="97"/>
      <c r="AC43" s="96"/>
      <c r="AD43" s="97"/>
      <c r="AE43" s="96"/>
      <c r="AF43" s="97"/>
      <c r="AG43" s="96"/>
      <c r="AH43" s="97"/>
      <c r="AI43" s="96"/>
      <c r="AJ43" s="97"/>
      <c r="AK43" s="96"/>
      <c r="AL43" s="97"/>
      <c r="AM43" s="96"/>
      <c r="AN43" s="97"/>
      <c r="AO43" s="96"/>
      <c r="AP43" s="97"/>
      <c r="AQ43" s="96"/>
    </row>
    <row r="44" spans="1:46">
      <c r="A44" s="63"/>
      <c r="B44" s="80" t="s">
        <v>965</v>
      </c>
      <c r="C44" s="73"/>
      <c r="D44" s="97"/>
      <c r="E44" s="96"/>
      <c r="F44" s="97"/>
      <c r="G44" s="96"/>
      <c r="H44" s="97"/>
      <c r="I44" s="96"/>
      <c r="J44" s="97"/>
      <c r="K44" s="96"/>
      <c r="L44" s="97"/>
      <c r="M44" s="96"/>
      <c r="N44" s="97"/>
      <c r="O44" s="96"/>
      <c r="P44" s="97"/>
      <c r="Q44" s="96"/>
      <c r="R44" s="97"/>
      <c r="S44" s="96"/>
      <c r="T44" s="97"/>
      <c r="U44" s="96"/>
      <c r="V44" s="97"/>
      <c r="W44" s="96"/>
      <c r="X44" s="97"/>
      <c r="Y44" s="96"/>
      <c r="Z44" s="97"/>
      <c r="AA44" s="96"/>
      <c r="AB44" s="97"/>
      <c r="AC44" s="96"/>
      <c r="AD44" s="97"/>
      <c r="AE44" s="96"/>
      <c r="AF44" s="97"/>
      <c r="AG44" s="96"/>
      <c r="AH44" s="97"/>
      <c r="AI44" s="96"/>
      <c r="AJ44" s="97"/>
      <c r="AK44" s="96"/>
      <c r="AL44" s="97"/>
      <c r="AM44" s="96"/>
      <c r="AN44" s="97"/>
      <c r="AO44" s="96"/>
      <c r="AP44" s="97"/>
      <c r="AQ44" s="96"/>
    </row>
    <row r="45" spans="1:46">
      <c r="A45" s="63"/>
      <c r="B45" s="72" t="s">
        <v>966</v>
      </c>
      <c r="C45" s="73"/>
      <c r="D45" s="1514" t="e">
        <f>IF(D9=0,0,(D24+D20+D32)/D9)</f>
        <v>#N/A</v>
      </c>
      <c r="E45" s="1515"/>
      <c r="F45" s="1514" t="e">
        <f>IF(F9=0,0,(F24+F20+F32)/F9)</f>
        <v>#N/A</v>
      </c>
      <c r="G45" s="1515"/>
      <c r="H45" s="1514" t="e">
        <f>IF(H9=0,0,(H24+H20+H32)/H9)</f>
        <v>#N/A</v>
      </c>
      <c r="I45" s="1515"/>
      <c r="J45" s="1514" t="e">
        <f>IF(J9=0,0,(J24+J20+J32)/J9)</f>
        <v>#N/A</v>
      </c>
      <c r="K45" s="1515"/>
      <c r="L45" s="1514" t="e">
        <f>IF(L9=0,0,(L24+L20+L32)/L9)</f>
        <v>#N/A</v>
      </c>
      <c r="M45" s="1515"/>
      <c r="N45" s="1514" t="e">
        <f>IF(N9=0,0,(N24+N20+N32)/N9)</f>
        <v>#N/A</v>
      </c>
      <c r="O45" s="1515"/>
      <c r="P45" s="1514" t="e">
        <f>IF(P9=0,0,(P24+P20+P32)/P9)</f>
        <v>#N/A</v>
      </c>
      <c r="Q45" s="1515"/>
      <c r="R45" s="1514" t="e">
        <f>IF(R9=0,0,(R24+R20+R32)/R9)</f>
        <v>#N/A</v>
      </c>
      <c r="S45" s="1515"/>
      <c r="T45" s="1514" t="e">
        <f>IF(T9=0,0,(T24+T20+T32)/T9)</f>
        <v>#N/A</v>
      </c>
      <c r="U45" s="1515"/>
      <c r="V45" s="1514" t="e">
        <f>IF(V9=0,0,(V24+V20+V32)/V9)</f>
        <v>#N/A</v>
      </c>
      <c r="W45" s="1515"/>
      <c r="X45" s="1514" t="e">
        <f>IF(X9=0,0,(X24+X20+X32)/X9)</f>
        <v>#N/A</v>
      </c>
      <c r="Y45" s="1515"/>
      <c r="Z45" s="1514" t="e">
        <f>IF(Z9=0,0,(Z24+Z20+Z32)/Z9)</f>
        <v>#N/A</v>
      </c>
      <c r="AA45" s="1515"/>
      <c r="AB45" s="1514" t="e">
        <f>IF(AB9=0,0,(AB24+AB20+AB32)/AB9)</f>
        <v>#N/A</v>
      </c>
      <c r="AC45" s="1515"/>
      <c r="AD45" s="1514" t="e">
        <f>IF(AD9=0,0,(AD24+AD20+AD32)/AD9)</f>
        <v>#N/A</v>
      </c>
      <c r="AE45" s="1515"/>
      <c r="AF45" s="1514" t="e">
        <f>IF(AF9=0,0,(AF24+AF20+AF32)/AF9)</f>
        <v>#N/A</v>
      </c>
      <c r="AG45" s="1515"/>
      <c r="AH45" s="1514" t="e">
        <f>IF(AH9=0,0,(AH24+AH20+AH32)/AH9)</f>
        <v>#N/A</v>
      </c>
      <c r="AI45" s="1515"/>
      <c r="AJ45" s="1514" t="e">
        <f>IF(AJ9=0,0,(AJ24+AJ20+AJ32)/AJ9)</f>
        <v>#N/A</v>
      </c>
      <c r="AK45" s="1515"/>
      <c r="AL45" s="1514" t="e">
        <f>IF(AL9=0,0,(AL24+AL20+AL32)/AL9)</f>
        <v>#N/A</v>
      </c>
      <c r="AM45" s="1515"/>
      <c r="AN45" s="1514" t="e">
        <f>IF(AN9=0,0,(AN24+AN20+AN32)/AN9)</f>
        <v>#N/A</v>
      </c>
      <c r="AO45" s="1515"/>
      <c r="AP45" s="1514" t="e">
        <f>IF(AP9=0,0,(AP24+AP20+AP32)/AP9)</f>
        <v>#N/A</v>
      </c>
      <c r="AQ45" s="1515"/>
    </row>
    <row r="46" spans="1:46">
      <c r="A46" s="63"/>
      <c r="B46" s="72"/>
      <c r="C46" s="73"/>
      <c r="D46" s="1510"/>
      <c r="E46" s="1511"/>
      <c r="F46" s="1510"/>
      <c r="G46" s="1511"/>
      <c r="H46" s="1510"/>
      <c r="I46" s="1511"/>
      <c r="J46" s="1510"/>
      <c r="K46" s="1511"/>
      <c r="L46" s="1510"/>
      <c r="M46" s="1511"/>
      <c r="N46" s="1510"/>
      <c r="O46" s="1511"/>
      <c r="P46" s="1510"/>
      <c r="Q46" s="1511"/>
      <c r="R46" s="1510"/>
      <c r="S46" s="1511"/>
      <c r="T46" s="1510"/>
      <c r="U46" s="1511"/>
      <c r="V46" s="1510"/>
      <c r="W46" s="1511"/>
      <c r="X46" s="1510"/>
      <c r="Y46" s="1511"/>
      <c r="Z46" s="1510"/>
      <c r="AA46" s="1511"/>
      <c r="AB46" s="1510"/>
      <c r="AC46" s="1511"/>
      <c r="AD46" s="1510"/>
      <c r="AE46" s="1511"/>
      <c r="AF46" s="1510"/>
      <c r="AG46" s="1511"/>
      <c r="AH46" s="1510"/>
      <c r="AI46" s="1511"/>
      <c r="AJ46" s="1510"/>
      <c r="AK46" s="1511"/>
      <c r="AL46" s="1510"/>
      <c r="AM46" s="1511"/>
      <c r="AN46" s="1510"/>
      <c r="AO46" s="1511"/>
      <c r="AP46" s="1510"/>
      <c r="AQ46" s="1511"/>
    </row>
    <row r="47" spans="1:46">
      <c r="A47" s="63"/>
      <c r="B47" s="80" t="s">
        <v>1557</v>
      </c>
      <c r="C47" s="73"/>
      <c r="D47" s="1512"/>
      <c r="E47" s="1513"/>
      <c r="F47" s="1512"/>
      <c r="G47" s="1513"/>
      <c r="H47" s="1512"/>
      <c r="I47" s="1513"/>
      <c r="J47" s="1512"/>
      <c r="K47" s="1513"/>
      <c r="L47" s="1512"/>
      <c r="M47" s="1513"/>
      <c r="N47" s="1512"/>
      <c r="O47" s="1513"/>
      <c r="P47" s="1512"/>
      <c r="Q47" s="1513"/>
      <c r="R47" s="1512"/>
      <c r="S47" s="1513"/>
      <c r="T47" s="1512"/>
      <c r="U47" s="1513"/>
      <c r="V47" s="1512"/>
      <c r="W47" s="1513"/>
      <c r="X47" s="1512"/>
      <c r="Y47" s="1513"/>
      <c r="Z47" s="1512"/>
      <c r="AA47" s="1513"/>
      <c r="AB47" s="1512"/>
      <c r="AC47" s="1513"/>
      <c r="AD47" s="1512"/>
      <c r="AE47" s="1513"/>
      <c r="AF47" s="1512"/>
      <c r="AG47" s="1513"/>
      <c r="AH47" s="1512"/>
      <c r="AI47" s="1513"/>
      <c r="AJ47" s="1512"/>
      <c r="AK47" s="1513"/>
      <c r="AL47" s="1512"/>
      <c r="AM47" s="1513"/>
      <c r="AN47" s="1512"/>
      <c r="AO47" s="1513"/>
      <c r="AP47" s="1512"/>
      <c r="AQ47" s="1513"/>
    </row>
    <row r="48" spans="1:46">
      <c r="A48" s="63"/>
      <c r="B48" s="72" t="s">
        <v>1558</v>
      </c>
      <c r="C48" s="73"/>
      <c r="D48" s="1514">
        <f>IF(D20=0,0,(D35)/D20)</f>
        <v>0</v>
      </c>
      <c r="E48" s="1515"/>
      <c r="F48" s="1514">
        <f>IF(F20=0,0,(F35)/F20)</f>
        <v>0</v>
      </c>
      <c r="G48" s="1515"/>
      <c r="H48" s="1514">
        <f>IF(H20=0,0,(H35)/H20)</f>
        <v>0</v>
      </c>
      <c r="I48" s="1515"/>
      <c r="J48" s="1514">
        <f>IF(J20=0,0,(J35)/J20)</f>
        <v>0</v>
      </c>
      <c r="K48" s="1515"/>
      <c r="L48" s="1514">
        <f>IF(L20=0,0,(L35)/L20)</f>
        <v>0</v>
      </c>
      <c r="M48" s="1515"/>
      <c r="N48" s="1514">
        <f>IF(N20=0,0,(N35)/N20)</f>
        <v>0</v>
      </c>
      <c r="O48" s="1515"/>
      <c r="P48" s="1514">
        <f>IF(P20=0,0,(P35)/P20)</f>
        <v>0</v>
      </c>
      <c r="Q48" s="1515"/>
      <c r="R48" s="1514">
        <f>IF(R20=0,0,(R35)/R20)</f>
        <v>0</v>
      </c>
      <c r="S48" s="1515"/>
      <c r="T48" s="1514">
        <f>IF(T20=0,0,(T35)/T20)</f>
        <v>0</v>
      </c>
      <c r="U48" s="1515"/>
      <c r="V48" s="1514">
        <f>IF(V20=0,0,(V35)/V20)</f>
        <v>0</v>
      </c>
      <c r="W48" s="1515"/>
      <c r="X48" s="1514">
        <f>IF(X20=0,0,(X35)/X20)</f>
        <v>0</v>
      </c>
      <c r="Y48" s="1515"/>
      <c r="Z48" s="1514">
        <f>IF(Z20=0,0,(Z35)/Z20)</f>
        <v>0</v>
      </c>
      <c r="AA48" s="1515"/>
      <c r="AB48" s="1514">
        <f>IF(AB20=0,0,(AB35)/AB20)</f>
        <v>0</v>
      </c>
      <c r="AC48" s="1515"/>
      <c r="AD48" s="1514">
        <f>IF(AD20=0,0,(AD35)/AD20)</f>
        <v>0</v>
      </c>
      <c r="AE48" s="1515"/>
      <c r="AF48" s="1514">
        <f>IF(AF20=0,0,(AF35)/AF20)</f>
        <v>0</v>
      </c>
      <c r="AG48" s="1515"/>
      <c r="AH48" s="1514">
        <f>IF(AH20=0,0,(AH35)/AH20)</f>
        <v>0</v>
      </c>
      <c r="AI48" s="1515"/>
      <c r="AJ48" s="1514">
        <f>IF(AJ20=0,0,(AJ35)/AJ20)</f>
        <v>0</v>
      </c>
      <c r="AK48" s="1515"/>
      <c r="AL48" s="1514">
        <f>IF(AL20=0,0,(AL35)/AL20)</f>
        <v>0</v>
      </c>
      <c r="AM48" s="1515"/>
      <c r="AN48" s="1514">
        <f>IF(AN20=0,0,(AN35)/AN20)</f>
        <v>0</v>
      </c>
      <c r="AO48" s="1515"/>
      <c r="AP48" s="1514">
        <f>IF(AP20=0,0,(AP35)/AP20)</f>
        <v>0</v>
      </c>
      <c r="AQ48" s="1515"/>
    </row>
    <row r="49" spans="1:43" ht="14" thickBot="1">
      <c r="A49" s="63"/>
      <c r="B49" s="84"/>
      <c r="C49" s="85"/>
      <c r="D49" s="98"/>
      <c r="E49" s="99"/>
      <c r="F49" s="98"/>
      <c r="G49" s="99"/>
      <c r="H49" s="98"/>
      <c r="I49" s="99"/>
      <c r="J49" s="98"/>
      <c r="K49" s="99"/>
      <c r="L49" s="98"/>
      <c r="M49" s="99"/>
      <c r="N49" s="98"/>
      <c r="O49" s="99"/>
      <c r="P49" s="98"/>
      <c r="Q49" s="99"/>
      <c r="R49" s="98"/>
      <c r="S49" s="99"/>
      <c r="T49" s="98"/>
      <c r="U49" s="99"/>
      <c r="V49" s="98"/>
      <c r="W49" s="99"/>
      <c r="X49" s="98"/>
      <c r="Y49" s="99"/>
      <c r="Z49" s="98"/>
      <c r="AA49" s="99"/>
      <c r="AB49" s="98"/>
      <c r="AC49" s="99"/>
      <c r="AD49" s="98"/>
      <c r="AE49" s="99"/>
      <c r="AF49" s="98"/>
      <c r="AG49" s="99"/>
      <c r="AH49" s="98"/>
      <c r="AI49" s="99"/>
      <c r="AJ49" s="98"/>
      <c r="AK49" s="99"/>
      <c r="AL49" s="98"/>
      <c r="AM49" s="99"/>
      <c r="AN49" s="98"/>
      <c r="AO49" s="99"/>
      <c r="AP49" s="98"/>
      <c r="AQ49" s="99"/>
    </row>
    <row r="50" spans="1:43" ht="14" thickTop="1"/>
  </sheetData>
  <sheetProtection password="CCBC" sheet="1"/>
  <mergeCells count="180">
    <mergeCell ref="P36:Q36"/>
    <mergeCell ref="R36:S36"/>
    <mergeCell ref="D36:E36"/>
    <mergeCell ref="F36:G36"/>
    <mergeCell ref="H36:I36"/>
    <mergeCell ref="J36:K36"/>
    <mergeCell ref="L36:M36"/>
    <mergeCell ref="N36:O36"/>
    <mergeCell ref="T36:U36"/>
    <mergeCell ref="V36:W36"/>
    <mergeCell ref="X36:Y36"/>
    <mergeCell ref="Z36:AA36"/>
    <mergeCell ref="AJ36:AK36"/>
    <mergeCell ref="AL36:AM36"/>
    <mergeCell ref="AN36:AO36"/>
    <mergeCell ref="AP36:AQ36"/>
    <mergeCell ref="AB36:AC36"/>
    <mergeCell ref="AD36:AE36"/>
    <mergeCell ref="AF36:AG36"/>
    <mergeCell ref="AH36:AI36"/>
    <mergeCell ref="X37:Y37"/>
    <mergeCell ref="Z37:AA37"/>
    <mergeCell ref="L37:M37"/>
    <mergeCell ref="N37:O37"/>
    <mergeCell ref="P37:Q37"/>
    <mergeCell ref="R37:S37"/>
    <mergeCell ref="AJ38:AK38"/>
    <mergeCell ref="AL38:AM38"/>
    <mergeCell ref="T38:U38"/>
    <mergeCell ref="V38:W38"/>
    <mergeCell ref="X38:Y38"/>
    <mergeCell ref="Z38:AA38"/>
    <mergeCell ref="J47:K47"/>
    <mergeCell ref="L48:M48"/>
    <mergeCell ref="H46:I46"/>
    <mergeCell ref="H48:I48"/>
    <mergeCell ref="AN37:AO37"/>
    <mergeCell ref="AP37:AQ37"/>
    <mergeCell ref="AB37:AC37"/>
    <mergeCell ref="AD37:AE37"/>
    <mergeCell ref="AF37:AG37"/>
    <mergeCell ref="AH37:AI37"/>
    <mergeCell ref="AL37:AM37"/>
    <mergeCell ref="AJ37:AK37"/>
    <mergeCell ref="L38:M38"/>
    <mergeCell ref="N38:O38"/>
    <mergeCell ref="P38:Q38"/>
    <mergeCell ref="R38:S38"/>
    <mergeCell ref="AN38:AO38"/>
    <mergeCell ref="AP38:AQ38"/>
    <mergeCell ref="AB38:AC38"/>
    <mergeCell ref="AD38:AE38"/>
    <mergeCell ref="AF38:AG38"/>
    <mergeCell ref="AH38:AI38"/>
    <mergeCell ref="T37:U37"/>
    <mergeCell ref="V37:W37"/>
    <mergeCell ref="D37:E37"/>
    <mergeCell ref="F37:G37"/>
    <mergeCell ref="H37:I37"/>
    <mergeCell ref="J37:K37"/>
    <mergeCell ref="J48:K48"/>
    <mergeCell ref="L45:M45"/>
    <mergeCell ref="L46:M46"/>
    <mergeCell ref="L47:M47"/>
    <mergeCell ref="J45:K45"/>
    <mergeCell ref="J46:K46"/>
    <mergeCell ref="D38:E38"/>
    <mergeCell ref="F38:G38"/>
    <mergeCell ref="H38:I38"/>
    <mergeCell ref="J38:K38"/>
    <mergeCell ref="D46:E46"/>
    <mergeCell ref="D47:E47"/>
    <mergeCell ref="H45:I45"/>
    <mergeCell ref="H47:I47"/>
    <mergeCell ref="J41:K41"/>
    <mergeCell ref="J42:K42"/>
    <mergeCell ref="D48:E48"/>
    <mergeCell ref="F46:G46"/>
    <mergeCell ref="F47:G47"/>
    <mergeCell ref="F48:G48"/>
    <mergeCell ref="L41:M41"/>
    <mergeCell ref="L42:M42"/>
    <mergeCell ref="D41:E41"/>
    <mergeCell ref="D42:E42"/>
    <mergeCell ref="D45:E45"/>
    <mergeCell ref="F45:G45"/>
    <mergeCell ref="F41:G41"/>
    <mergeCell ref="F42:G42"/>
    <mergeCell ref="H41:I41"/>
    <mergeCell ref="H42:I42"/>
    <mergeCell ref="V46:W46"/>
    <mergeCell ref="V47:W47"/>
    <mergeCell ref="T41:U41"/>
    <mergeCell ref="T42:U42"/>
    <mergeCell ref="T45:U45"/>
    <mergeCell ref="T48:U48"/>
    <mergeCell ref="R41:S41"/>
    <mergeCell ref="N41:O41"/>
    <mergeCell ref="N42:O42"/>
    <mergeCell ref="N46:O46"/>
    <mergeCell ref="N47:O47"/>
    <mergeCell ref="N48:O48"/>
    <mergeCell ref="P41:Q41"/>
    <mergeCell ref="P42:Q42"/>
    <mergeCell ref="P45:Q45"/>
    <mergeCell ref="P46:Q46"/>
    <mergeCell ref="P47:Q47"/>
    <mergeCell ref="R42:S42"/>
    <mergeCell ref="R45:S45"/>
    <mergeCell ref="R46:S46"/>
    <mergeCell ref="R47:S47"/>
    <mergeCell ref="P48:Q48"/>
    <mergeCell ref="N45:O45"/>
    <mergeCell ref="R48:S48"/>
    <mergeCell ref="AB48:AC48"/>
    <mergeCell ref="Z45:AA45"/>
    <mergeCell ref="V48:W48"/>
    <mergeCell ref="T46:U46"/>
    <mergeCell ref="T47:U47"/>
    <mergeCell ref="Z48:AA48"/>
    <mergeCell ref="AB41:AC41"/>
    <mergeCell ref="AB42:AC42"/>
    <mergeCell ref="AB45:AC45"/>
    <mergeCell ref="AB46:AC46"/>
    <mergeCell ref="AB47:AC47"/>
    <mergeCell ref="Z41:AA41"/>
    <mergeCell ref="Z42:AA42"/>
    <mergeCell ref="Z46:AA46"/>
    <mergeCell ref="Z47:AA47"/>
    <mergeCell ref="X41:Y41"/>
    <mergeCell ref="X42:Y42"/>
    <mergeCell ref="X45:Y45"/>
    <mergeCell ref="X46:Y46"/>
    <mergeCell ref="X47:Y47"/>
    <mergeCell ref="X48:Y48"/>
    <mergeCell ref="V41:W41"/>
    <mergeCell ref="V42:W42"/>
    <mergeCell ref="V45:W45"/>
    <mergeCell ref="AF48:AG48"/>
    <mergeCell ref="AD41:AE41"/>
    <mergeCell ref="AD42:AE42"/>
    <mergeCell ref="AD45:AE45"/>
    <mergeCell ref="AH48:AI48"/>
    <mergeCell ref="AJ41:AK41"/>
    <mergeCell ref="AJ42:AK42"/>
    <mergeCell ref="AJ45:AK45"/>
    <mergeCell ref="AD46:AE46"/>
    <mergeCell ref="AD47:AE47"/>
    <mergeCell ref="AD48:AE48"/>
    <mergeCell ref="AF41:AG41"/>
    <mergeCell ref="AF42:AG42"/>
    <mergeCell ref="AF45:AG45"/>
    <mergeCell ref="AF46:AG46"/>
    <mergeCell ref="AF47:AG47"/>
    <mergeCell ref="AJ48:AK48"/>
    <mergeCell ref="AH41:AI41"/>
    <mergeCell ref="AH42:AI42"/>
    <mergeCell ref="AH45:AI45"/>
    <mergeCell ref="AH46:AI46"/>
    <mergeCell ref="AH47:AI47"/>
    <mergeCell ref="AJ46:AK46"/>
    <mergeCell ref="AJ47:AK47"/>
    <mergeCell ref="AL41:AM41"/>
    <mergeCell ref="AL42:AM42"/>
    <mergeCell ref="AN41:AO41"/>
    <mergeCell ref="AP46:AQ46"/>
    <mergeCell ref="AP47:AQ47"/>
    <mergeCell ref="AP48:AQ48"/>
    <mergeCell ref="AP41:AQ41"/>
    <mergeCell ref="AP42:AQ42"/>
    <mergeCell ref="AP45:AQ45"/>
    <mergeCell ref="AN42:AO42"/>
    <mergeCell ref="AL45:AM45"/>
    <mergeCell ref="AL46:AM46"/>
    <mergeCell ref="AL47:AM47"/>
    <mergeCell ref="AL48:AM48"/>
    <mergeCell ref="AN46:AO46"/>
    <mergeCell ref="AN47:AO47"/>
    <mergeCell ref="AN48:AO48"/>
    <mergeCell ref="AN45:AO45"/>
  </mergeCells>
  <phoneticPr fontId="0" type="noConversion"/>
  <printOptions horizontalCentered="1" verticalCentered="1"/>
  <pageMargins left="0.53" right="0.31" top="0.53" bottom="0.5" header="0.5" footer="0.5"/>
  <pageSetup scale="89" orientation="portrait" r:id="rId1"/>
  <headerFooter alignWithMargins="0"/>
  <colBreaks count="1" manualBreakCount="1">
    <brk id="11" max="54" man="1"/>
  </colBreaks>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dimension ref="A1:O75"/>
  <sheetViews>
    <sheetView zoomScaleNormal="100" workbookViewId="0">
      <selection activeCell="L5" sqref="L5"/>
    </sheetView>
  </sheetViews>
  <sheetFormatPr baseColWidth="10" defaultColWidth="9.1640625" defaultRowHeight="13"/>
  <cols>
    <col min="1" max="1" width="3.6640625" style="190" customWidth="1"/>
    <col min="2" max="2" width="36.6640625" style="190" customWidth="1"/>
    <col min="3" max="4" width="12.6640625" style="190" customWidth="1"/>
    <col min="5" max="5" width="14" style="190" customWidth="1"/>
    <col min="6" max="6" width="3.6640625" style="190" customWidth="1"/>
    <col min="7" max="7" width="11.33203125" style="190" customWidth="1"/>
    <col min="8" max="16384" width="9.1640625" style="190"/>
  </cols>
  <sheetData>
    <row r="1" spans="1:6" ht="14" thickBot="1">
      <c r="A1" s="381" t="s">
        <v>1244</v>
      </c>
      <c r="D1" s="879">
        <f>+Name</f>
        <v>0</v>
      </c>
      <c r="E1" s="374" t="e">
        <f>Cover!$H$6</f>
        <v>#N/A</v>
      </c>
    </row>
    <row r="2" spans="1:6" ht="15" thickTop="1" thickBot="1">
      <c r="B2" s="214" t="s">
        <v>1244</v>
      </c>
      <c r="C2" s="202"/>
      <c r="D2" s="203"/>
      <c r="E2" s="204"/>
    </row>
    <row r="3" spans="1:6" ht="14" thickTop="1">
      <c r="B3" s="436" t="s">
        <v>76</v>
      </c>
      <c r="C3" s="1325">
        <f>+'Primary Input'!J8</f>
        <v>0</v>
      </c>
      <c r="D3" s="1326"/>
      <c r="E3" s="1327"/>
      <c r="F3" s="355"/>
    </row>
    <row r="4" spans="1:6">
      <c r="B4" s="436" t="s">
        <v>490</v>
      </c>
      <c r="C4" s="1527">
        <f>+'Primary Input'!J6</f>
        <v>0</v>
      </c>
      <c r="D4" s="1528"/>
      <c r="E4" s="1529"/>
      <c r="F4" s="355"/>
    </row>
    <row r="5" spans="1:6">
      <c r="B5" s="436" t="s">
        <v>493</v>
      </c>
      <c r="C5" s="1362">
        <v>0</v>
      </c>
      <c r="D5" s="1363"/>
      <c r="E5" s="1364"/>
      <c r="F5" s="355"/>
    </row>
    <row r="6" spans="1:6">
      <c r="C6" s="355"/>
      <c r="D6" s="355"/>
      <c r="E6" s="355"/>
      <c r="F6" s="355"/>
    </row>
    <row r="7" spans="1:6">
      <c r="B7" s="436" t="s">
        <v>1245</v>
      </c>
      <c r="C7" s="1530">
        <f>MAX(SUMPRODUCT('Rental Income'!D3:D9,'Rental Income'!E3:E9),'Basis Calculation'!C7)</f>
        <v>0</v>
      </c>
      <c r="D7" s="1531"/>
      <c r="E7" s="1532"/>
      <c r="F7" s="355"/>
    </row>
    <row r="8" spans="1:6">
      <c r="B8" s="436" t="s">
        <v>504</v>
      </c>
      <c r="C8" s="1518"/>
      <c r="D8" s="1519"/>
      <c r="E8" s="1520"/>
      <c r="F8" s="355"/>
    </row>
    <row r="9" spans="1:6">
      <c r="B9" s="436" t="s">
        <v>132</v>
      </c>
      <c r="C9" s="1518"/>
      <c r="D9" s="1519"/>
      <c r="E9" s="1520"/>
      <c r="F9" s="355"/>
    </row>
    <row r="10" spans="1:6">
      <c r="C10" s="355"/>
      <c r="D10" s="355"/>
      <c r="E10" s="355"/>
      <c r="F10" s="355"/>
    </row>
    <row r="11" spans="1:6">
      <c r="B11" s="436" t="s">
        <v>1864</v>
      </c>
      <c r="C11" s="1521">
        <f>+'Sources&amp;Uses'!F41</f>
        <v>0</v>
      </c>
      <c r="D11" s="1522"/>
      <c r="E11" s="1523"/>
      <c r="F11" s="359"/>
    </row>
    <row r="12" spans="1:6">
      <c r="B12" s="436" t="s">
        <v>624</v>
      </c>
      <c r="C12" s="1524">
        <f>-'Sources&amp;Uses'!F35</f>
        <v>0</v>
      </c>
      <c r="D12" s="1525"/>
      <c r="E12" s="1526"/>
      <c r="F12" s="645" t="str">
        <f>IF(C12&gt;0,"Must be entered as a negative number","")</f>
        <v/>
      </c>
    </row>
    <row r="13" spans="1:6">
      <c r="B13" s="436" t="s">
        <v>625</v>
      </c>
      <c r="C13" s="1524">
        <f>-C20</f>
        <v>0</v>
      </c>
      <c r="D13" s="1525"/>
      <c r="E13" s="1526"/>
      <c r="F13" s="645" t="str">
        <f>IF(C13&gt;0,"Must be entered as a negative number","")</f>
        <v/>
      </c>
    </row>
    <row r="14" spans="1:6">
      <c r="B14" s="436" t="s">
        <v>1295</v>
      </c>
      <c r="C14" s="1524">
        <v>0</v>
      </c>
      <c r="D14" s="1525"/>
      <c r="E14" s="1526"/>
      <c r="F14" s="645"/>
    </row>
    <row r="15" spans="1:6" ht="26.25" hidden="1" customHeight="1">
      <c r="B15" s="889" t="s">
        <v>1296</v>
      </c>
      <c r="C15" s="1524">
        <v>0</v>
      </c>
      <c r="D15" s="1525"/>
      <c r="E15" s="1526"/>
      <c r="F15" s="645"/>
    </row>
    <row r="16" spans="1:6">
      <c r="B16" s="338" t="s">
        <v>626</v>
      </c>
      <c r="C16" s="1524">
        <v>0</v>
      </c>
      <c r="D16" s="1525"/>
      <c r="E16" s="1526"/>
      <c r="F16" s="645" t="str">
        <f>IF(C16&gt;0,"Must be entered as a negative number","")</f>
        <v/>
      </c>
    </row>
    <row r="17" spans="2:15">
      <c r="B17" s="338" t="s">
        <v>626</v>
      </c>
      <c r="C17" s="1524">
        <v>0</v>
      </c>
      <c r="D17" s="1525"/>
      <c r="E17" s="1526"/>
      <c r="F17" s="645" t="str">
        <f>IF(C17&gt;0,"Must be entered as a negative number","")</f>
        <v/>
      </c>
    </row>
    <row r="18" spans="2:15">
      <c r="B18" s="436" t="s">
        <v>627</v>
      </c>
      <c r="C18" s="1521">
        <f>SUM(C11:C17)</f>
        <v>0</v>
      </c>
      <c r="D18" s="1522"/>
      <c r="E18" s="1523"/>
      <c r="F18" s="359"/>
    </row>
    <row r="19" spans="2:15" ht="45.75" customHeight="1">
      <c r="C19" s="437"/>
      <c r="D19" s="437"/>
      <c r="E19" s="437"/>
    </row>
    <row r="20" spans="2:15">
      <c r="B20" s="436" t="s">
        <v>1306</v>
      </c>
      <c r="C20" s="1524">
        <f>+'Sources&amp;Uses'!F36</f>
        <v>0</v>
      </c>
      <c r="D20" s="1525"/>
      <c r="E20" s="1526"/>
    </row>
    <row r="21" spans="2:15">
      <c r="C21" s="355"/>
      <c r="D21" s="355"/>
      <c r="E21" s="355"/>
    </row>
    <row r="22" spans="2:15" ht="16">
      <c r="B22" s="346" t="s">
        <v>122</v>
      </c>
      <c r="C22" s="346"/>
    </row>
    <row r="24" spans="2:15">
      <c r="B24" s="436" t="s">
        <v>76</v>
      </c>
      <c r="C24" s="401" t="s">
        <v>1493</v>
      </c>
      <c r="D24" s="401" t="s">
        <v>123</v>
      </c>
      <c r="E24" s="438" t="s">
        <v>124</v>
      </c>
    </row>
    <row r="25" spans="2:15">
      <c r="B25" s="436" t="s">
        <v>77</v>
      </c>
      <c r="C25" s="106"/>
      <c r="D25" s="439">
        <v>125000</v>
      </c>
      <c r="E25" s="440">
        <f>+D25*F25*'Primary Input'!J$21</f>
        <v>0</v>
      </c>
      <c r="F25" s="441">
        <f t="shared" ref="F25:F31" si="0">IF(C25="Yes",1,0)</f>
        <v>0</v>
      </c>
      <c r="O25" s="441" t="s">
        <v>92</v>
      </c>
    </row>
    <row r="26" spans="2:15">
      <c r="B26" s="436" t="s">
        <v>1016</v>
      </c>
      <c r="C26" s="106"/>
      <c r="D26" s="439">
        <v>150000</v>
      </c>
      <c r="E26" s="440">
        <f>+D26*F26*'Primary Input'!J$21</f>
        <v>0</v>
      </c>
      <c r="F26" s="441">
        <f t="shared" si="0"/>
        <v>0</v>
      </c>
      <c r="O26" s="441" t="s">
        <v>91</v>
      </c>
    </row>
    <row r="27" spans="2:15">
      <c r="B27" s="436" t="s">
        <v>1015</v>
      </c>
      <c r="C27" s="106"/>
      <c r="D27" s="439">
        <v>175000</v>
      </c>
      <c r="E27" s="440">
        <f>+D27*F27*'Primary Input'!J$21</f>
        <v>0</v>
      </c>
      <c r="F27" s="441">
        <f t="shared" si="0"/>
        <v>0</v>
      </c>
    </row>
    <row r="28" spans="2:15">
      <c r="B28" s="436"/>
      <c r="C28" s="436"/>
      <c r="D28" s="439"/>
      <c r="E28" s="440">
        <f>+D28*F28*'Primary Input'!J$21</f>
        <v>0</v>
      </c>
      <c r="F28" s="441">
        <f t="shared" si="0"/>
        <v>0</v>
      </c>
    </row>
    <row r="29" spans="2:15">
      <c r="B29" s="436" t="s">
        <v>2018</v>
      </c>
      <c r="C29" s="106"/>
      <c r="D29" s="439">
        <v>250000</v>
      </c>
      <c r="E29" s="440">
        <f>+D29*F29*'Primary Input'!J$21</f>
        <v>0</v>
      </c>
      <c r="F29" s="441">
        <f t="shared" si="0"/>
        <v>0</v>
      </c>
    </row>
    <row r="30" spans="2:15">
      <c r="B30" s="436" t="s">
        <v>1294</v>
      </c>
      <c r="C30" s="106"/>
      <c r="D30" s="403">
        <v>185000</v>
      </c>
      <c r="E30" s="440">
        <f>+D30*F30*'Primary Input'!J$21</f>
        <v>0</v>
      </c>
      <c r="F30" s="441">
        <f t="shared" si="0"/>
        <v>0</v>
      </c>
    </row>
    <row r="31" spans="2:15" hidden="1">
      <c r="B31" s="338" t="s">
        <v>1533</v>
      </c>
      <c r="C31" s="106"/>
      <c r="D31" s="403"/>
      <c r="E31" s="440">
        <f>+D31*F31*'Primary Input'!J$21</f>
        <v>0</v>
      </c>
      <c r="F31" s="441">
        <f t="shared" si="0"/>
        <v>0</v>
      </c>
    </row>
    <row r="32" spans="2:15">
      <c r="C32" s="442"/>
      <c r="D32" s="364" t="s">
        <v>494</v>
      </c>
      <c r="E32" s="443">
        <f>SUM(E25:E30)</f>
        <v>0</v>
      </c>
      <c r="F32" s="441">
        <f>SUM(F25:F31)</f>
        <v>0</v>
      </c>
    </row>
    <row r="33" spans="2:7">
      <c r="B33" s="444" t="str">
        <f>IF(F32&gt;1,"Select only ONE development Type","")</f>
        <v/>
      </c>
      <c r="D33" s="364" t="s">
        <v>736</v>
      </c>
      <c r="E33" s="445">
        <f>IF('Primary Input'!J21=0,0,+E32/'Primary Input'!J21)</f>
        <v>0</v>
      </c>
    </row>
    <row r="34" spans="2:7" ht="16" hidden="1">
      <c r="B34" s="346" t="s">
        <v>1539</v>
      </c>
      <c r="C34" s="346"/>
    </row>
    <row r="35" spans="2:7" ht="16" hidden="1">
      <c r="C35" s="346"/>
    </row>
    <row r="36" spans="2:7" hidden="1">
      <c r="B36" s="208" t="s">
        <v>412</v>
      </c>
    </row>
    <row r="37" spans="2:7" hidden="1">
      <c r="B37" s="208" t="s">
        <v>143</v>
      </c>
    </row>
    <row r="38" spans="2:7" ht="12" hidden="1" customHeight="1"/>
    <row r="39" spans="2:7" hidden="1">
      <c r="B39" s="364" t="s">
        <v>1482</v>
      </c>
      <c r="C39" s="190" t="s">
        <v>1483</v>
      </c>
      <c r="E39" s="106"/>
      <c r="F39" s="441">
        <f>IF(E39="Yes",1,0)</f>
        <v>0</v>
      </c>
    </row>
    <row r="40" spans="2:7" hidden="1">
      <c r="C40" s="190" t="s">
        <v>1484</v>
      </c>
      <c r="E40" s="106"/>
      <c r="F40" s="441">
        <f>IF(E40="Yes",1,0)</f>
        <v>0</v>
      </c>
    </row>
    <row r="41" spans="2:7" hidden="1">
      <c r="C41" s="190" t="s">
        <v>1485</v>
      </c>
      <c r="E41" s="106"/>
      <c r="F41" s="441">
        <f>IF(E41="Yes",1,0)</f>
        <v>0</v>
      </c>
    </row>
    <row r="42" spans="2:7" hidden="1">
      <c r="C42" s="190" t="s">
        <v>31</v>
      </c>
      <c r="E42" s="106"/>
      <c r="F42" s="441">
        <v>0</v>
      </c>
    </row>
    <row r="43" spans="2:7" ht="16" hidden="1">
      <c r="B43" s="190" t="s">
        <v>1486</v>
      </c>
      <c r="E43" s="446">
        <f>IF(E42="yes",F43*1.25,F43)</f>
        <v>150</v>
      </c>
      <c r="F43" s="447">
        <f>IF(SUM(F39:F42)&gt;0,175,150)</f>
        <v>150</v>
      </c>
      <c r="G43" s="377"/>
    </row>
    <row r="44" spans="2:7" hidden="1"/>
    <row r="45" spans="2:7" ht="16" hidden="1">
      <c r="B45" s="346" t="s">
        <v>1540</v>
      </c>
    </row>
    <row r="46" spans="2:7" ht="16">
      <c r="B46" s="346"/>
    </row>
    <row r="47" spans="2:7" ht="16">
      <c r="B47" s="346" t="s">
        <v>1487</v>
      </c>
      <c r="E47" s="450">
        <f>+'Sources&amp;Uses'!F41</f>
        <v>0</v>
      </c>
    </row>
    <row r="48" spans="2:7" ht="16">
      <c r="B48" s="448" t="s">
        <v>1488</v>
      </c>
      <c r="C48" s="190" t="s">
        <v>1489</v>
      </c>
      <c r="E48" s="451">
        <v>0</v>
      </c>
      <c r="F48" s="190" t="s">
        <v>363</v>
      </c>
    </row>
    <row r="49" spans="2:9" ht="16">
      <c r="B49" s="346"/>
      <c r="C49" s="190" t="s">
        <v>1490</v>
      </c>
      <c r="E49" s="451">
        <v>0</v>
      </c>
      <c r="F49" s="190" t="s">
        <v>363</v>
      </c>
    </row>
    <row r="50" spans="2:9" ht="16">
      <c r="B50" s="346"/>
      <c r="C50" s="190" t="s">
        <v>1491</v>
      </c>
      <c r="E50" s="451">
        <v>0</v>
      </c>
    </row>
    <row r="51" spans="2:9" ht="16" hidden="1">
      <c r="B51" s="346"/>
      <c r="C51" s="239" t="s">
        <v>80</v>
      </c>
      <c r="D51" s="239"/>
      <c r="E51" s="451">
        <v>0</v>
      </c>
    </row>
    <row r="52" spans="2:9" ht="16">
      <c r="B52" s="448" t="s">
        <v>1492</v>
      </c>
      <c r="E52" s="452">
        <f>SUM(E47:E51)</f>
        <v>0</v>
      </c>
    </row>
    <row r="53" spans="2:9" ht="16">
      <c r="B53" s="346"/>
    </row>
    <row r="54" spans="2:9" ht="16">
      <c r="B54" s="346" t="s">
        <v>735</v>
      </c>
      <c r="C54" s="346"/>
      <c r="E54" s="453">
        <f>IF('Primary Input'!J21=0,0,+E52/'Primary Input'!J21)</f>
        <v>0</v>
      </c>
      <c r="F54" s="231" t="str">
        <f>IF(E54&gt;E33,"!","")</f>
        <v/>
      </c>
    </row>
    <row r="55" spans="2:9" ht="16" hidden="1">
      <c r="B55" s="346" t="s">
        <v>1541</v>
      </c>
      <c r="C55" s="346"/>
      <c r="E55" s="453">
        <f>IF(C7=0,0,+('Sources&amp;Uses'!F31+'Sources&amp;Uses'!F32)/(C7+C8))</f>
        <v>0</v>
      </c>
      <c r="F55" s="231" t="str">
        <f>IF(E55&gt;E43,"!","")</f>
        <v/>
      </c>
    </row>
    <row r="56" spans="2:9" ht="6.75" customHeight="1"/>
    <row r="57" spans="2:9" ht="16">
      <c r="B57" s="616" t="s">
        <v>24</v>
      </c>
      <c r="C57" s="1"/>
      <c r="D57" s="1"/>
      <c r="E57" s="1"/>
      <c r="F57" s="1"/>
      <c r="G57" s="1"/>
      <c r="H57" s="227"/>
      <c r="I57" s="122"/>
    </row>
    <row r="58" spans="2:9">
      <c r="B58" s="1"/>
      <c r="C58" s="1"/>
      <c r="D58" s="1"/>
      <c r="E58" s="1"/>
      <c r="F58" s="1"/>
      <c r="G58" s="1"/>
      <c r="H58" s="227"/>
      <c r="I58" s="122"/>
    </row>
    <row r="59" spans="2:9">
      <c r="B59" s="1" t="s">
        <v>1848</v>
      </c>
      <c r="C59" s="1"/>
      <c r="D59" s="1"/>
      <c r="E59" s="1"/>
      <c r="F59" s="1"/>
      <c r="G59" s="1"/>
      <c r="H59" s="227"/>
      <c r="I59" s="122"/>
    </row>
    <row r="60" spans="2:9">
      <c r="B60" s="617" t="s">
        <v>241</v>
      </c>
      <c r="C60" s="618">
        <f>+'Rehab Construction'!F168</f>
        <v>0</v>
      </c>
      <c r="D60" s="1"/>
      <c r="E60" s="1"/>
      <c r="F60" s="1"/>
      <c r="G60" s="1"/>
      <c r="H60" s="227"/>
      <c r="I60" s="122"/>
    </row>
    <row r="61" spans="2:9">
      <c r="B61" s="617" t="s">
        <v>744</v>
      </c>
      <c r="C61" s="618">
        <f>+'Rehab Construction'!F169</f>
        <v>0</v>
      </c>
      <c r="D61" s="1"/>
      <c r="E61" s="1"/>
      <c r="F61" s="1"/>
      <c r="G61" s="1"/>
      <c r="H61" s="227"/>
      <c r="I61" s="122"/>
    </row>
    <row r="62" spans="2:9">
      <c r="B62" s="617" t="s">
        <v>1240</v>
      </c>
      <c r="C62" s="618">
        <f>+'Sources&amp;Uses'!I32</f>
        <v>0</v>
      </c>
      <c r="D62" s="1"/>
      <c r="E62" s="1"/>
      <c r="F62" s="1"/>
      <c r="G62" s="1"/>
      <c r="H62" s="227"/>
      <c r="I62" s="122"/>
    </row>
    <row r="63" spans="2:9">
      <c r="B63" s="617" t="s">
        <v>25</v>
      </c>
      <c r="C63" s="618">
        <f>+Syndication!J40</f>
        <v>0</v>
      </c>
      <c r="D63" s="1"/>
      <c r="E63" s="1"/>
      <c r="F63" s="1"/>
      <c r="G63" s="1"/>
      <c r="H63" s="122"/>
      <c r="I63" s="122"/>
    </row>
    <row r="64" spans="2:9">
      <c r="B64" s="617" t="s">
        <v>26</v>
      </c>
      <c r="C64" s="618">
        <f>+'Sources&amp;Uses'!I16+'Sources&amp;Uses'!I17</f>
        <v>0</v>
      </c>
      <c r="D64" s="1"/>
      <c r="E64" s="1"/>
      <c r="F64" s="1"/>
      <c r="G64" s="1"/>
      <c r="H64" s="122"/>
      <c r="I64" s="122"/>
    </row>
    <row r="65" spans="2:9">
      <c r="B65" s="617" t="s">
        <v>27</v>
      </c>
      <c r="C65" s="618">
        <f>+'Sources&amp;Uses'!I27</f>
        <v>0</v>
      </c>
      <c r="D65" s="1"/>
      <c r="E65" s="1"/>
      <c r="F65" s="1"/>
      <c r="G65" s="1"/>
      <c r="H65" s="122"/>
      <c r="I65" s="122"/>
    </row>
    <row r="66" spans="2:9">
      <c r="B66" s="617" t="s">
        <v>28</v>
      </c>
      <c r="C66" s="618">
        <f>+'Sources&amp;Uses'!I25</f>
        <v>0</v>
      </c>
      <c r="D66" s="1"/>
      <c r="E66" s="1"/>
      <c r="F66" s="1"/>
      <c r="G66" s="1"/>
      <c r="H66" s="122"/>
      <c r="I66" s="122"/>
    </row>
    <row r="67" spans="2:9">
      <c r="B67" s="617" t="s">
        <v>1438</v>
      </c>
      <c r="C67" s="667">
        <f>+'Sources&amp;Uses'!I33</f>
        <v>0</v>
      </c>
      <c r="D67" s="1"/>
      <c r="E67" s="1"/>
      <c r="F67" s="1"/>
      <c r="G67" s="1"/>
      <c r="H67" s="227"/>
      <c r="I67" s="122"/>
    </row>
    <row r="68" spans="2:9" ht="14" thickBot="1">
      <c r="B68" s="1"/>
      <c r="C68" s="619">
        <f>SUM(C60:C67)</f>
        <v>0</v>
      </c>
      <c r="D68" s="1"/>
      <c r="E68" s="1"/>
      <c r="F68" s="1"/>
      <c r="G68" s="1"/>
      <c r="H68" s="227"/>
      <c r="I68" s="122"/>
    </row>
    <row r="69" spans="2:9" ht="14" thickTop="1">
      <c r="B69" s="1"/>
      <c r="C69" s="1"/>
      <c r="D69" s="1"/>
      <c r="E69" s="1"/>
      <c r="F69" s="1"/>
      <c r="G69" s="1"/>
    </row>
    <row r="70" spans="2:9">
      <c r="B70" s="1" t="s">
        <v>29</v>
      </c>
      <c r="C70" s="1" t="s">
        <v>30</v>
      </c>
      <c r="D70" s="1"/>
      <c r="E70" s="1"/>
      <c r="F70" s="1"/>
      <c r="G70" s="1"/>
    </row>
    <row r="71" spans="2:9">
      <c r="B71" s="617" t="s">
        <v>169</v>
      </c>
      <c r="C71" s="618">
        <f>+'Sources&amp;Uses'!F50</f>
        <v>0</v>
      </c>
      <c r="D71" s="1"/>
      <c r="E71" s="1"/>
      <c r="F71" s="1"/>
      <c r="G71" s="1"/>
    </row>
    <row r="72" spans="2:9">
      <c r="B72" s="1"/>
      <c r="C72" s="1"/>
      <c r="D72" s="1"/>
      <c r="E72" s="1"/>
      <c r="F72" s="1"/>
      <c r="G72" s="1"/>
    </row>
    <row r="73" spans="2:9">
      <c r="B73" s="1" t="s">
        <v>170</v>
      </c>
      <c r="C73" s="1" t="s">
        <v>1846</v>
      </c>
      <c r="D73" s="1"/>
      <c r="E73" s="1"/>
      <c r="F73" s="1"/>
      <c r="G73" s="1"/>
    </row>
    <row r="74" spans="2:9">
      <c r="B74" s="617" t="s">
        <v>1847</v>
      </c>
      <c r="C74" s="620">
        <f>IF(C71&lt;&gt;0,+C68/C71,1)</f>
        <v>1</v>
      </c>
      <c r="D74" s="1"/>
      <c r="E74" s="1"/>
      <c r="F74" s="1"/>
      <c r="G74" s="1"/>
    </row>
    <row r="75" spans="2:9" ht="4.5" customHeight="1">
      <c r="B75" s="1"/>
      <c r="C75" s="1"/>
      <c r="D75" s="1"/>
      <c r="E75" s="1"/>
      <c r="F75" s="1"/>
      <c r="G75" s="1"/>
    </row>
  </sheetData>
  <sheetProtection password="CCBC" sheet="1" objects="1" scenarios="1"/>
  <mergeCells count="15">
    <mergeCell ref="C20:E20"/>
    <mergeCell ref="C13:E13"/>
    <mergeCell ref="C18:E18"/>
    <mergeCell ref="C9:E9"/>
    <mergeCell ref="C16:E16"/>
    <mergeCell ref="C17:E17"/>
    <mergeCell ref="C14:E14"/>
    <mergeCell ref="C15:E15"/>
    <mergeCell ref="C8:E8"/>
    <mergeCell ref="C11:E11"/>
    <mergeCell ref="C12:E12"/>
    <mergeCell ref="C3:E3"/>
    <mergeCell ref="C4:E4"/>
    <mergeCell ref="C5:E5"/>
    <mergeCell ref="C7:E7"/>
  </mergeCells>
  <phoneticPr fontId="0" type="noConversion"/>
  <dataValidations disablePrompts="1" count="1">
    <dataValidation type="list" allowBlank="1" showInputMessage="1" showErrorMessage="1" sqref="E39:E42 C29:C31 C25:C27" xr:uid="{00000000-0002-0000-0F00-000000000000}">
      <formula1>$O$24:$O$26</formula1>
    </dataValidation>
  </dataValidations>
  <printOptions horizontalCentered="1" verticalCentered="1"/>
  <pageMargins left="0.75" right="0.75" top="1" bottom="1" header="0.5" footer="0.5"/>
  <pageSetup scale="76" orientation="portrait" horizontalDpi="360" verticalDpi="36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
  <dimension ref="A1:AC81"/>
  <sheetViews>
    <sheetView zoomScaleNormal="100" workbookViewId="0">
      <pane xSplit="3" ySplit="3" topLeftCell="D4" activePane="bottomRight" state="frozen"/>
      <selection activeCell="L5" sqref="L5"/>
      <selection pane="topRight" activeCell="L5" sqref="L5"/>
      <selection pane="bottomLeft" activeCell="L5" sqref="L5"/>
      <selection pane="bottomRight" activeCell="L5" sqref="L5"/>
    </sheetView>
  </sheetViews>
  <sheetFormatPr baseColWidth="10" defaultColWidth="9.1640625" defaultRowHeight="13"/>
  <cols>
    <col min="1" max="1" width="3.6640625" style="190" customWidth="1"/>
    <col min="2" max="2" width="35.83203125" style="190" customWidth="1"/>
    <col min="3" max="3" width="19.5" style="347" customWidth="1"/>
    <col min="4" max="21" width="12.6640625" style="190" customWidth="1"/>
    <col min="22" max="22" width="9.1640625" style="508"/>
    <col min="23" max="16384" width="9.1640625" style="190"/>
  </cols>
  <sheetData>
    <row r="1" spans="1:28" ht="14" thickBot="1">
      <c r="A1" s="381" t="s">
        <v>1595</v>
      </c>
      <c r="C1" s="374" t="e">
        <f>Cover!$H$6</f>
        <v>#N/A</v>
      </c>
      <c r="D1" s="441">
        <f>IF(C3&lt;'Building Information'!$C$5,1,0)</f>
        <v>0</v>
      </c>
      <c r="E1" s="441">
        <f>IF(D3&lt;'Building Information'!$C$5,1,0)</f>
        <v>0</v>
      </c>
      <c r="F1" s="441">
        <f>IF(E3&lt;'Building Information'!$C$5,1,0)</f>
        <v>0</v>
      </c>
      <c r="G1" s="441">
        <f>IF(F3&lt;'Building Information'!$C$5,1,0)</f>
        <v>0</v>
      </c>
      <c r="H1" s="441">
        <f>IF(G3&lt;'Building Information'!$C$5,1,0)</f>
        <v>0</v>
      </c>
      <c r="I1" s="441">
        <f>IF(H3&lt;'Building Information'!$C$5,1,0)</f>
        <v>0</v>
      </c>
      <c r="J1" s="441">
        <f>IF(I3&lt;'Building Information'!$C$5,1,0)</f>
        <v>0</v>
      </c>
      <c r="K1" s="441">
        <f>IF(J3&lt;'Building Information'!$C$5,1,0)</f>
        <v>0</v>
      </c>
      <c r="L1" s="441">
        <f>IF(K3&lt;'Building Information'!$C$5,1,0)</f>
        <v>0</v>
      </c>
      <c r="M1" s="441">
        <f>IF(L3&lt;'Building Information'!$C$5,1,0)</f>
        <v>0</v>
      </c>
      <c r="N1" s="441">
        <f>IF(M3&lt;'Building Information'!$C$5,1,0)</f>
        <v>0</v>
      </c>
      <c r="O1" s="441">
        <f>IF(N3&lt;'Building Information'!$C$5,1,0)</f>
        <v>0</v>
      </c>
      <c r="P1" s="441">
        <f>IF(O3&lt;'Building Information'!$C$5,1,0)</f>
        <v>0</v>
      </c>
      <c r="Q1" s="441">
        <f>IF(P3&lt;'Building Information'!$C$5,1,0)</f>
        <v>0</v>
      </c>
      <c r="R1" s="441">
        <f>IF(Q3&lt;'Building Information'!$C$5,1,0)</f>
        <v>0</v>
      </c>
      <c r="S1" s="441">
        <f>IF(R3&lt;'Building Information'!$C$5,1,0)</f>
        <v>0</v>
      </c>
      <c r="T1" s="441">
        <f>IF(S3&lt;'Building Information'!$C$5,1,0)</f>
        <v>0</v>
      </c>
      <c r="U1" s="441">
        <f>IF(T3&lt;'Building Information'!$C$5,1,0)</f>
        <v>0</v>
      </c>
      <c r="V1" s="454"/>
      <c r="W1" s="441"/>
    </row>
    <row r="2" spans="1:28" ht="14" thickTop="1">
      <c r="B2" s="455"/>
      <c r="C2" s="456" t="s">
        <v>494</v>
      </c>
      <c r="D2" s="251" t="s">
        <v>495</v>
      </c>
      <c r="E2" s="457" t="str">
        <f>IF(E1=1,"Configuration","")</f>
        <v/>
      </c>
      <c r="F2" s="457" t="str">
        <f>IF(F1=1,"Configuration","")</f>
        <v/>
      </c>
      <c r="G2" s="457" t="str">
        <f t="shared" ref="G2:U2" si="0">IF(G1=1,"Configuration","")</f>
        <v/>
      </c>
      <c r="H2" s="457" t="str">
        <f t="shared" si="0"/>
        <v/>
      </c>
      <c r="I2" s="457" t="str">
        <f t="shared" si="0"/>
        <v/>
      </c>
      <c r="J2" s="457" t="str">
        <f t="shared" si="0"/>
        <v/>
      </c>
      <c r="K2" s="457" t="str">
        <f t="shared" si="0"/>
        <v/>
      </c>
      <c r="L2" s="457" t="str">
        <f t="shared" si="0"/>
        <v/>
      </c>
      <c r="M2" s="457" t="str">
        <f t="shared" si="0"/>
        <v/>
      </c>
      <c r="N2" s="457" t="str">
        <f t="shared" si="0"/>
        <v/>
      </c>
      <c r="O2" s="457" t="str">
        <f t="shared" si="0"/>
        <v/>
      </c>
      <c r="P2" s="457" t="str">
        <f t="shared" si="0"/>
        <v/>
      </c>
      <c r="Q2" s="457" t="str">
        <f t="shared" si="0"/>
        <v/>
      </c>
      <c r="R2" s="457" t="str">
        <f t="shared" si="0"/>
        <v/>
      </c>
      <c r="S2" s="457" t="str">
        <f t="shared" si="0"/>
        <v/>
      </c>
      <c r="T2" s="457" t="str">
        <f t="shared" si="0"/>
        <v/>
      </c>
      <c r="U2" s="458" t="str">
        <f t="shared" si="0"/>
        <v/>
      </c>
      <c r="V2" s="122"/>
    </row>
    <row r="3" spans="1:28" ht="14" thickBot="1">
      <c r="B3" s="459" t="s">
        <v>491</v>
      </c>
      <c r="C3" s="460">
        <f>+'Building Information'!C5</f>
        <v>0</v>
      </c>
      <c r="D3" s="461">
        <v>1</v>
      </c>
      <c r="E3" s="462" t="str">
        <f>IF(E1=1,+D3+1,"")</f>
        <v/>
      </c>
      <c r="F3" s="462" t="str">
        <f>IF(F1=1,+E3+1,"")</f>
        <v/>
      </c>
      <c r="G3" s="462" t="str">
        <f t="shared" ref="G3:U3" si="1">IF(G1=1,+F3+1,"")</f>
        <v/>
      </c>
      <c r="H3" s="462" t="str">
        <f t="shared" si="1"/>
        <v/>
      </c>
      <c r="I3" s="462" t="str">
        <f t="shared" si="1"/>
        <v/>
      </c>
      <c r="J3" s="462" t="str">
        <f t="shared" si="1"/>
        <v/>
      </c>
      <c r="K3" s="462" t="str">
        <f t="shared" si="1"/>
        <v/>
      </c>
      <c r="L3" s="462" t="str">
        <f t="shared" si="1"/>
        <v/>
      </c>
      <c r="M3" s="462" t="str">
        <f t="shared" si="1"/>
        <v/>
      </c>
      <c r="N3" s="462" t="str">
        <f t="shared" si="1"/>
        <v/>
      </c>
      <c r="O3" s="462" t="str">
        <f t="shared" si="1"/>
        <v/>
      </c>
      <c r="P3" s="462" t="str">
        <f t="shared" si="1"/>
        <v/>
      </c>
      <c r="Q3" s="462" t="str">
        <f t="shared" si="1"/>
        <v/>
      </c>
      <c r="R3" s="462" t="str">
        <f t="shared" si="1"/>
        <v/>
      </c>
      <c r="S3" s="462" t="str">
        <f t="shared" si="1"/>
        <v/>
      </c>
      <c r="T3" s="462" t="str">
        <f t="shared" si="1"/>
        <v/>
      </c>
      <c r="U3" s="463" t="str">
        <f t="shared" si="1"/>
        <v/>
      </c>
      <c r="V3" s="122"/>
    </row>
    <row r="4" spans="1:28" ht="14" thickTop="1">
      <c r="B4" s="662" t="str">
        <f>IF('Primary Input'!E20&lt;1,"THIS SECTION IS NOT REQUIRED AS THERE ARE NO TAX CREDITS REQUESTED","")</f>
        <v>THIS SECTION IS NOT REQUIRED AS THERE ARE NO TAX CREDITS REQUESTED</v>
      </c>
      <c r="C4" s="464"/>
      <c r="D4" s="238"/>
      <c r="E4" s="465"/>
      <c r="F4" s="465"/>
      <c r="G4" s="465"/>
      <c r="H4" s="465"/>
      <c r="I4" s="465"/>
      <c r="J4" s="465"/>
      <c r="K4" s="465"/>
      <c r="L4" s="465"/>
      <c r="M4" s="465"/>
      <c r="N4" s="465"/>
      <c r="O4" s="465"/>
      <c r="P4" s="465"/>
      <c r="Q4" s="465"/>
      <c r="R4" s="465"/>
      <c r="S4" s="465"/>
      <c r="T4" s="465"/>
      <c r="U4" s="466"/>
      <c r="V4" s="122"/>
    </row>
    <row r="5" spans="1:28">
      <c r="B5" s="467" t="s">
        <v>492</v>
      </c>
      <c r="C5" s="468">
        <f>SUM(D5:U5)</f>
        <v>0</v>
      </c>
      <c r="D5" s="511"/>
      <c r="E5" s="512"/>
      <c r="F5" s="512"/>
      <c r="G5" s="512"/>
      <c r="H5" s="512"/>
      <c r="I5" s="512"/>
      <c r="J5" s="512"/>
      <c r="K5" s="512"/>
      <c r="L5" s="512"/>
      <c r="M5" s="512"/>
      <c r="N5" s="512"/>
      <c r="O5" s="512"/>
      <c r="P5" s="512"/>
      <c r="Q5" s="512"/>
      <c r="R5" s="512"/>
      <c r="S5" s="512"/>
      <c r="T5" s="512"/>
      <c r="U5" s="513"/>
      <c r="V5" s="122"/>
    </row>
    <row r="6" spans="1:28">
      <c r="B6" s="467"/>
      <c r="C6" s="468"/>
      <c r="D6" s="238"/>
      <c r="E6" s="465"/>
      <c r="F6" s="465"/>
      <c r="G6" s="465"/>
      <c r="H6" s="465"/>
      <c r="I6" s="465"/>
      <c r="J6" s="465"/>
      <c r="K6" s="465"/>
      <c r="L6" s="465"/>
      <c r="M6" s="465"/>
      <c r="N6" s="465"/>
      <c r="O6" s="465"/>
      <c r="P6" s="465"/>
      <c r="Q6" s="465"/>
      <c r="R6" s="465"/>
      <c r="S6" s="465"/>
      <c r="T6" s="465"/>
      <c r="U6" s="466"/>
      <c r="V6" s="122"/>
    </row>
    <row r="7" spans="1:28">
      <c r="A7" s="469"/>
      <c r="B7" s="470" t="s">
        <v>496</v>
      </c>
      <c r="C7" s="471">
        <f>SUMPRODUCT(D7:U7,D$5:U$5)</f>
        <v>0</v>
      </c>
      <c r="D7" s="514"/>
      <c r="E7" s="515"/>
      <c r="F7" s="515"/>
      <c r="G7" s="515"/>
      <c r="H7" s="515"/>
      <c r="I7" s="515"/>
      <c r="J7" s="515"/>
      <c r="K7" s="515"/>
      <c r="L7" s="515"/>
      <c r="M7" s="515"/>
      <c r="N7" s="515"/>
      <c r="O7" s="515"/>
      <c r="P7" s="515"/>
      <c r="Q7" s="515"/>
      <c r="R7" s="515"/>
      <c r="S7" s="515"/>
      <c r="T7" s="515"/>
      <c r="U7" s="516"/>
      <c r="V7" s="449"/>
      <c r="W7" s="469"/>
      <c r="X7" s="469"/>
      <c r="Y7" s="469"/>
      <c r="Z7" s="469"/>
      <c r="AA7" s="469"/>
      <c r="AB7" s="469"/>
    </row>
    <row r="8" spans="1:28">
      <c r="A8" s="469"/>
      <c r="B8" s="470" t="s">
        <v>497</v>
      </c>
      <c r="C8" s="471">
        <f>SUMPRODUCT(D8:U8,D$5:U$5)</f>
        <v>0</v>
      </c>
      <c r="D8" s="514"/>
      <c r="E8" s="515"/>
      <c r="F8" s="515"/>
      <c r="G8" s="515"/>
      <c r="H8" s="515"/>
      <c r="I8" s="515"/>
      <c r="J8" s="515"/>
      <c r="K8" s="515"/>
      <c r="L8" s="515"/>
      <c r="M8" s="515"/>
      <c r="N8" s="515"/>
      <c r="O8" s="515"/>
      <c r="P8" s="515"/>
      <c r="Q8" s="515"/>
      <c r="R8" s="515"/>
      <c r="S8" s="515"/>
      <c r="T8" s="515"/>
      <c r="U8" s="516"/>
      <c r="V8" s="449"/>
      <c r="W8" s="469"/>
      <c r="X8" s="469"/>
      <c r="Y8" s="469"/>
      <c r="Z8" s="469"/>
      <c r="AA8" s="469"/>
      <c r="AB8" s="469"/>
    </row>
    <row r="9" spans="1:28">
      <c r="A9" s="469"/>
      <c r="B9" s="470" t="s">
        <v>498</v>
      </c>
      <c r="C9" s="471">
        <f>SUMPRODUCT(D9:U9,D$5:U$5)</f>
        <v>0</v>
      </c>
      <c r="D9" s="472">
        <f>SUM(D7:D8)</f>
        <v>0</v>
      </c>
      <c r="E9" s="473" t="str">
        <f>IF(E$1=1,SUM(E7:E8),"")</f>
        <v/>
      </c>
      <c r="F9" s="473" t="str">
        <f t="shared" ref="F9:U9" si="2">IF(F$1=1,SUM(F7:F8),"")</f>
        <v/>
      </c>
      <c r="G9" s="473" t="str">
        <f t="shared" si="2"/>
        <v/>
      </c>
      <c r="H9" s="473" t="str">
        <f t="shared" si="2"/>
        <v/>
      </c>
      <c r="I9" s="473" t="str">
        <f t="shared" si="2"/>
        <v/>
      </c>
      <c r="J9" s="473" t="str">
        <f t="shared" si="2"/>
        <v/>
      </c>
      <c r="K9" s="473" t="str">
        <f t="shared" si="2"/>
        <v/>
      </c>
      <c r="L9" s="473" t="str">
        <f t="shared" si="2"/>
        <v/>
      </c>
      <c r="M9" s="473" t="str">
        <f t="shared" si="2"/>
        <v/>
      </c>
      <c r="N9" s="473" t="str">
        <f t="shared" si="2"/>
        <v/>
      </c>
      <c r="O9" s="473" t="str">
        <f t="shared" si="2"/>
        <v/>
      </c>
      <c r="P9" s="473" t="str">
        <f t="shared" si="2"/>
        <v/>
      </c>
      <c r="Q9" s="473" t="str">
        <f t="shared" si="2"/>
        <v/>
      </c>
      <c r="R9" s="473" t="str">
        <f t="shared" si="2"/>
        <v/>
      </c>
      <c r="S9" s="473" t="str">
        <f t="shared" si="2"/>
        <v/>
      </c>
      <c r="T9" s="473" t="str">
        <f t="shared" si="2"/>
        <v/>
      </c>
      <c r="U9" s="474" t="str">
        <f t="shared" si="2"/>
        <v/>
      </c>
      <c r="V9" s="449"/>
      <c r="W9" s="469"/>
      <c r="X9" s="469"/>
      <c r="Y9" s="469"/>
      <c r="Z9" s="469"/>
      <c r="AA9" s="469"/>
      <c r="AB9" s="469"/>
    </row>
    <row r="10" spans="1:28">
      <c r="B10" s="467"/>
      <c r="C10" s="468"/>
      <c r="D10" s="238"/>
      <c r="E10" s="465"/>
      <c r="F10" s="465"/>
      <c r="G10" s="465"/>
      <c r="H10" s="465"/>
      <c r="I10" s="465"/>
      <c r="J10" s="465"/>
      <c r="K10" s="465"/>
      <c r="L10" s="465"/>
      <c r="M10" s="465"/>
      <c r="N10" s="465"/>
      <c r="O10" s="465"/>
      <c r="P10" s="465"/>
      <c r="Q10" s="465"/>
      <c r="R10" s="465"/>
      <c r="S10" s="465"/>
      <c r="T10" s="465"/>
      <c r="U10" s="466"/>
      <c r="V10" s="122"/>
    </row>
    <row r="11" spans="1:28">
      <c r="B11" s="470" t="s">
        <v>500</v>
      </c>
      <c r="C11" s="471">
        <f t="shared" ref="C11:C17" si="3">SUMPRODUCT(D11:U11,D$5:U$5)</f>
        <v>0</v>
      </c>
      <c r="D11" s="514"/>
      <c r="E11" s="515"/>
      <c r="F11" s="515"/>
      <c r="G11" s="515"/>
      <c r="H11" s="515"/>
      <c r="I11" s="515"/>
      <c r="J11" s="515"/>
      <c r="K11" s="515"/>
      <c r="L11" s="515"/>
      <c r="M11" s="515"/>
      <c r="N11" s="515"/>
      <c r="O11" s="515"/>
      <c r="P11" s="515"/>
      <c r="Q11" s="515"/>
      <c r="R11" s="515"/>
      <c r="S11" s="515"/>
      <c r="T11" s="515"/>
      <c r="U11" s="516"/>
      <c r="V11" s="122"/>
    </row>
    <row r="12" spans="1:28">
      <c r="B12" s="470" t="s">
        <v>501</v>
      </c>
      <c r="C12" s="471">
        <f t="shared" si="3"/>
        <v>0</v>
      </c>
      <c r="D12" s="514"/>
      <c r="E12" s="515"/>
      <c r="F12" s="515"/>
      <c r="G12" s="515"/>
      <c r="H12" s="515"/>
      <c r="I12" s="515"/>
      <c r="J12" s="515"/>
      <c r="K12" s="515"/>
      <c r="L12" s="515"/>
      <c r="M12" s="515"/>
      <c r="N12" s="515"/>
      <c r="O12" s="515"/>
      <c r="P12" s="515"/>
      <c r="Q12" s="515"/>
      <c r="R12" s="515"/>
      <c r="S12" s="515"/>
      <c r="T12" s="515"/>
      <c r="U12" s="516"/>
      <c r="V12" s="122"/>
    </row>
    <row r="13" spans="1:28">
      <c r="B13" s="470" t="s">
        <v>807</v>
      </c>
      <c r="C13" s="471">
        <f t="shared" si="3"/>
        <v>0</v>
      </c>
      <c r="D13" s="514"/>
      <c r="E13" s="515"/>
      <c r="F13" s="515"/>
      <c r="G13" s="515"/>
      <c r="H13" s="515"/>
      <c r="I13" s="515"/>
      <c r="J13" s="515"/>
      <c r="K13" s="515"/>
      <c r="L13" s="515"/>
      <c r="M13" s="515"/>
      <c r="N13" s="515"/>
      <c r="O13" s="515"/>
      <c r="P13" s="515"/>
      <c r="Q13" s="515"/>
      <c r="R13" s="515"/>
      <c r="S13" s="515"/>
      <c r="T13" s="515"/>
      <c r="U13" s="516"/>
      <c r="V13" s="122"/>
    </row>
    <row r="14" spans="1:28">
      <c r="B14" s="470" t="s">
        <v>808</v>
      </c>
      <c r="C14" s="471">
        <f t="shared" si="3"/>
        <v>0</v>
      </c>
      <c r="D14" s="514"/>
      <c r="E14" s="515"/>
      <c r="F14" s="515"/>
      <c r="G14" s="515"/>
      <c r="H14" s="515"/>
      <c r="I14" s="515"/>
      <c r="J14" s="515"/>
      <c r="K14" s="515"/>
      <c r="L14" s="515"/>
      <c r="M14" s="515"/>
      <c r="N14" s="515"/>
      <c r="O14" s="515"/>
      <c r="P14" s="515"/>
      <c r="Q14" s="515"/>
      <c r="R14" s="515"/>
      <c r="S14" s="515"/>
      <c r="T14" s="515"/>
      <c r="U14" s="516"/>
      <c r="V14" s="122"/>
    </row>
    <row r="15" spans="1:28">
      <c r="B15" s="470" t="s">
        <v>809</v>
      </c>
      <c r="C15" s="471">
        <f t="shared" si="3"/>
        <v>0</v>
      </c>
      <c r="D15" s="514"/>
      <c r="E15" s="515"/>
      <c r="F15" s="515"/>
      <c r="G15" s="515"/>
      <c r="H15" s="515"/>
      <c r="I15" s="515"/>
      <c r="J15" s="515"/>
      <c r="K15" s="515"/>
      <c r="L15" s="515"/>
      <c r="M15" s="515"/>
      <c r="N15" s="515"/>
      <c r="O15" s="515"/>
      <c r="P15" s="515"/>
      <c r="Q15" s="515"/>
      <c r="R15" s="515"/>
      <c r="S15" s="515"/>
      <c r="T15" s="515"/>
      <c r="U15" s="516"/>
      <c r="V15" s="122"/>
    </row>
    <row r="16" spans="1:28">
      <c r="B16" s="470" t="s">
        <v>810</v>
      </c>
      <c r="C16" s="471">
        <f t="shared" si="3"/>
        <v>0</v>
      </c>
      <c r="D16" s="514"/>
      <c r="E16" s="515"/>
      <c r="F16" s="515"/>
      <c r="G16" s="515"/>
      <c r="H16" s="515"/>
      <c r="I16" s="515"/>
      <c r="J16" s="515"/>
      <c r="K16" s="515"/>
      <c r="L16" s="515"/>
      <c r="M16" s="515"/>
      <c r="N16" s="515"/>
      <c r="O16" s="515"/>
      <c r="P16" s="515"/>
      <c r="Q16" s="515"/>
      <c r="R16" s="515"/>
      <c r="S16" s="515"/>
      <c r="T16" s="515"/>
      <c r="U16" s="516"/>
      <c r="V16" s="122"/>
    </row>
    <row r="17" spans="2:29">
      <c r="B17" s="470" t="s">
        <v>503</v>
      </c>
      <c r="C17" s="471">
        <f t="shared" si="3"/>
        <v>0</v>
      </c>
      <c r="D17" s="514"/>
      <c r="E17" s="515"/>
      <c r="F17" s="515"/>
      <c r="G17" s="515"/>
      <c r="H17" s="515"/>
      <c r="I17" s="515"/>
      <c r="J17" s="515"/>
      <c r="K17" s="515"/>
      <c r="L17" s="515"/>
      <c r="M17" s="515"/>
      <c r="N17" s="515"/>
      <c r="O17" s="515"/>
      <c r="P17" s="515"/>
      <c r="Q17" s="515"/>
      <c r="R17" s="515"/>
      <c r="S17" s="515"/>
      <c r="T17" s="515"/>
      <c r="U17" s="516"/>
      <c r="V17" s="122"/>
    </row>
    <row r="18" spans="2:29">
      <c r="B18" s="470" t="s">
        <v>1861</v>
      </c>
      <c r="C18" s="471">
        <f>+C19</f>
        <v>0</v>
      </c>
      <c r="D18" s="472">
        <f>SUM(D11:D17)</f>
        <v>0</v>
      </c>
      <c r="E18" s="473" t="str">
        <f t="shared" ref="E18:U18" si="4">IF(E$1=1,SUM(E11:E17),"")</f>
        <v/>
      </c>
      <c r="F18" s="473" t="str">
        <f t="shared" si="4"/>
        <v/>
      </c>
      <c r="G18" s="473" t="str">
        <f t="shared" si="4"/>
        <v/>
      </c>
      <c r="H18" s="473" t="str">
        <f t="shared" si="4"/>
        <v/>
      </c>
      <c r="I18" s="473" t="str">
        <f t="shared" si="4"/>
        <v/>
      </c>
      <c r="J18" s="473" t="str">
        <f t="shared" si="4"/>
        <v/>
      </c>
      <c r="K18" s="473" t="str">
        <f t="shared" si="4"/>
        <v/>
      </c>
      <c r="L18" s="473" t="str">
        <f t="shared" si="4"/>
        <v/>
      </c>
      <c r="M18" s="473" t="str">
        <f t="shared" si="4"/>
        <v/>
      </c>
      <c r="N18" s="473" t="str">
        <f t="shared" si="4"/>
        <v/>
      </c>
      <c r="O18" s="473" t="str">
        <f t="shared" si="4"/>
        <v/>
      </c>
      <c r="P18" s="473" t="str">
        <f t="shared" si="4"/>
        <v/>
      </c>
      <c r="Q18" s="473" t="str">
        <f t="shared" si="4"/>
        <v/>
      </c>
      <c r="R18" s="473" t="str">
        <f t="shared" si="4"/>
        <v/>
      </c>
      <c r="S18" s="473" t="str">
        <f t="shared" si="4"/>
        <v/>
      </c>
      <c r="T18" s="473" t="str">
        <f t="shared" si="4"/>
        <v/>
      </c>
      <c r="U18" s="474" t="str">
        <f t="shared" si="4"/>
        <v/>
      </c>
      <c r="V18" s="533"/>
      <c r="W18" s="475"/>
      <c r="X18" s="475"/>
      <c r="Y18" s="475"/>
      <c r="Z18" s="475"/>
      <c r="AA18" s="475"/>
      <c r="AB18" s="475"/>
      <c r="AC18" s="475"/>
    </row>
    <row r="19" spans="2:29">
      <c r="B19" s="470" t="s">
        <v>499</v>
      </c>
      <c r="C19" s="468">
        <f>SUM(D19:U19)</f>
        <v>0</v>
      </c>
      <c r="D19" s="472">
        <f>SUM(D11:D17)*D5</f>
        <v>0</v>
      </c>
      <c r="E19" s="473" t="str">
        <f>IF(E$1=1,SUM(E11:E17)*E5,"")</f>
        <v/>
      </c>
      <c r="F19" s="473" t="str">
        <f t="shared" ref="F19:U19" si="5">IF(F$1=1,SUM(F11:F17)*F5,"")</f>
        <v/>
      </c>
      <c r="G19" s="473" t="str">
        <f t="shared" si="5"/>
        <v/>
      </c>
      <c r="H19" s="473" t="str">
        <f t="shared" si="5"/>
        <v/>
      </c>
      <c r="I19" s="473" t="str">
        <f t="shared" si="5"/>
        <v/>
      </c>
      <c r="J19" s="473" t="str">
        <f t="shared" si="5"/>
        <v/>
      </c>
      <c r="K19" s="473" t="str">
        <f t="shared" si="5"/>
        <v/>
      </c>
      <c r="L19" s="473" t="str">
        <f t="shared" si="5"/>
        <v/>
      </c>
      <c r="M19" s="473" t="str">
        <f t="shared" si="5"/>
        <v/>
      </c>
      <c r="N19" s="473" t="str">
        <f t="shared" si="5"/>
        <v/>
      </c>
      <c r="O19" s="473" t="str">
        <f t="shared" si="5"/>
        <v/>
      </c>
      <c r="P19" s="473" t="str">
        <f t="shared" si="5"/>
        <v/>
      </c>
      <c r="Q19" s="473" t="str">
        <f t="shared" si="5"/>
        <v/>
      </c>
      <c r="R19" s="473" t="str">
        <f t="shared" si="5"/>
        <v/>
      </c>
      <c r="S19" s="473" t="str">
        <f t="shared" si="5"/>
        <v/>
      </c>
      <c r="T19" s="473" t="str">
        <f t="shared" si="5"/>
        <v/>
      </c>
      <c r="U19" s="474" t="str">
        <f t="shared" si="5"/>
        <v/>
      </c>
      <c r="V19" s="122"/>
    </row>
    <row r="20" spans="2:29">
      <c r="B20" s="467"/>
      <c r="C20" s="468"/>
      <c r="D20" s="238"/>
      <c r="E20" s="465"/>
      <c r="F20" s="465"/>
      <c r="G20" s="465"/>
      <c r="H20" s="465"/>
      <c r="I20" s="465"/>
      <c r="J20" s="465"/>
      <c r="K20" s="465"/>
      <c r="L20" s="465"/>
      <c r="M20" s="465"/>
      <c r="N20" s="465"/>
      <c r="O20" s="465"/>
      <c r="P20" s="465"/>
      <c r="Q20" s="465"/>
      <c r="R20" s="465"/>
      <c r="S20" s="465"/>
      <c r="T20" s="465"/>
      <c r="U20" s="466"/>
      <c r="V20" s="122"/>
    </row>
    <row r="21" spans="2:29">
      <c r="B21" s="467" t="s">
        <v>100</v>
      </c>
      <c r="C21" s="468"/>
      <c r="D21" s="472"/>
      <c r="E21" s="473"/>
      <c r="F21" s="473"/>
      <c r="G21" s="473"/>
      <c r="H21" s="473"/>
      <c r="I21" s="473"/>
      <c r="J21" s="473"/>
      <c r="K21" s="473"/>
      <c r="L21" s="473"/>
      <c r="M21" s="473"/>
      <c r="N21" s="473"/>
      <c r="O21" s="473"/>
      <c r="P21" s="473"/>
      <c r="Q21" s="473"/>
      <c r="R21" s="473"/>
      <c r="S21" s="473"/>
      <c r="T21" s="473"/>
      <c r="U21" s="474"/>
      <c r="V21" s="449"/>
    </row>
    <row r="22" spans="2:29">
      <c r="B22" s="467" t="s">
        <v>1618</v>
      </c>
      <c r="C22" s="471">
        <f>+'Primary Input'!E21</f>
        <v>0</v>
      </c>
      <c r="D22" s="514">
        <f>IF(C9=0,0,(D$7/$C9)*$C22)</f>
        <v>0</v>
      </c>
      <c r="E22" s="515" t="str">
        <f>IF(E1=1,IF(D9=0,0,(E$7/$C9)*$C22),"")</f>
        <v/>
      </c>
      <c r="F22" s="515" t="str">
        <f>IF(F1=1,IF(E9=0,0,(F$7/$C9)*$C22),"")</f>
        <v/>
      </c>
      <c r="G22" s="515" t="str">
        <f>IF(G1=1,IF(F9=0,0,(G$7/$C9)*$C22),"")</f>
        <v/>
      </c>
      <c r="H22" s="515" t="str">
        <f>IF(H1=1,IF(G9=0,0,(H$7/$C9)*$C22),"")</f>
        <v/>
      </c>
      <c r="I22" s="515" t="str">
        <f t="shared" ref="I22:U22" si="6">IF(I1=1,IF(H9=0,0,(I$7/$C9)*$C22),"")</f>
        <v/>
      </c>
      <c r="J22" s="515" t="str">
        <f t="shared" si="6"/>
        <v/>
      </c>
      <c r="K22" s="515" t="str">
        <f t="shared" si="6"/>
        <v/>
      </c>
      <c r="L22" s="515" t="str">
        <f t="shared" si="6"/>
        <v/>
      </c>
      <c r="M22" s="515" t="str">
        <f t="shared" si="6"/>
        <v/>
      </c>
      <c r="N22" s="515" t="str">
        <f t="shared" si="6"/>
        <v/>
      </c>
      <c r="O22" s="515" t="str">
        <f t="shared" si="6"/>
        <v/>
      </c>
      <c r="P22" s="515" t="str">
        <f t="shared" si="6"/>
        <v/>
      </c>
      <c r="Q22" s="515" t="str">
        <f t="shared" si="6"/>
        <v/>
      </c>
      <c r="R22" s="515" t="str">
        <f t="shared" si="6"/>
        <v/>
      </c>
      <c r="S22" s="515" t="str">
        <f t="shared" si="6"/>
        <v/>
      </c>
      <c r="T22" s="515" t="str">
        <f t="shared" si="6"/>
        <v/>
      </c>
      <c r="U22" s="516" t="str">
        <f t="shared" si="6"/>
        <v/>
      </c>
      <c r="V22" s="449"/>
    </row>
    <row r="23" spans="2:29">
      <c r="B23" s="517" t="s">
        <v>1619</v>
      </c>
      <c r="C23" s="518"/>
      <c r="D23" s="472">
        <f>IF(C23=0,0,(D$7/$C$9)*$C23)</f>
        <v>0</v>
      </c>
      <c r="E23" s="473" t="str">
        <f>IF(E1=1,IF(D23=0,0,(E$7/$C9)*$C23),"")</f>
        <v/>
      </c>
      <c r="F23" s="473" t="str">
        <f t="shared" ref="F23:U23" si="7">IF(F1=1,IF(E23=0,0,(F$7/$C9)*$C23),"")</f>
        <v/>
      </c>
      <c r="G23" s="473" t="str">
        <f t="shared" si="7"/>
        <v/>
      </c>
      <c r="H23" s="473" t="str">
        <f t="shared" si="7"/>
        <v/>
      </c>
      <c r="I23" s="473" t="str">
        <f t="shared" si="7"/>
        <v/>
      </c>
      <c r="J23" s="473" t="str">
        <f t="shared" si="7"/>
        <v/>
      </c>
      <c r="K23" s="473" t="str">
        <f t="shared" si="7"/>
        <v/>
      </c>
      <c r="L23" s="473" t="str">
        <f t="shared" si="7"/>
        <v/>
      </c>
      <c r="M23" s="473" t="str">
        <f t="shared" si="7"/>
        <v/>
      </c>
      <c r="N23" s="473" t="str">
        <f t="shared" si="7"/>
        <v/>
      </c>
      <c r="O23" s="473" t="str">
        <f t="shared" si="7"/>
        <v/>
      </c>
      <c r="P23" s="473" t="str">
        <f t="shared" si="7"/>
        <v/>
      </c>
      <c r="Q23" s="473" t="str">
        <f t="shared" si="7"/>
        <v/>
      </c>
      <c r="R23" s="473" t="str">
        <f t="shared" si="7"/>
        <v/>
      </c>
      <c r="S23" s="473" t="str">
        <f t="shared" si="7"/>
        <v/>
      </c>
      <c r="T23" s="473" t="str">
        <f t="shared" si="7"/>
        <v/>
      </c>
      <c r="U23" s="474" t="str">
        <f t="shared" si="7"/>
        <v/>
      </c>
      <c r="V23" s="449"/>
    </row>
    <row r="24" spans="2:29">
      <c r="B24" s="517" t="s">
        <v>1619</v>
      </c>
      <c r="C24" s="518"/>
      <c r="D24" s="472">
        <f>IF(C24=0,0,(D$7/$C$9)*$C24)</f>
        <v>0</v>
      </c>
      <c r="E24" s="473" t="str">
        <f>IF(E1=1,IF(D24=0,0,(E$7/$C9)*$C24),"")</f>
        <v/>
      </c>
      <c r="F24" s="473" t="str">
        <f t="shared" ref="F24:U24" si="8">IF(F1=1,IF(E24=0,0,(F$7/$C9)*$C24),"")</f>
        <v/>
      </c>
      <c r="G24" s="473" t="str">
        <f t="shared" si="8"/>
        <v/>
      </c>
      <c r="H24" s="473" t="str">
        <f t="shared" si="8"/>
        <v/>
      </c>
      <c r="I24" s="473" t="str">
        <f t="shared" si="8"/>
        <v/>
      </c>
      <c r="J24" s="473" t="str">
        <f t="shared" si="8"/>
        <v/>
      </c>
      <c r="K24" s="473" t="str">
        <f t="shared" si="8"/>
        <v/>
      </c>
      <c r="L24" s="473" t="str">
        <f t="shared" si="8"/>
        <v/>
      </c>
      <c r="M24" s="473" t="str">
        <f t="shared" si="8"/>
        <v/>
      </c>
      <c r="N24" s="473" t="str">
        <f t="shared" si="8"/>
        <v/>
      </c>
      <c r="O24" s="473" t="str">
        <f t="shared" si="8"/>
        <v/>
      </c>
      <c r="P24" s="473" t="str">
        <f t="shared" si="8"/>
        <v/>
      </c>
      <c r="Q24" s="473" t="str">
        <f t="shared" si="8"/>
        <v/>
      </c>
      <c r="R24" s="473" t="str">
        <f t="shared" si="8"/>
        <v/>
      </c>
      <c r="S24" s="473" t="str">
        <f t="shared" si="8"/>
        <v/>
      </c>
      <c r="T24" s="473" t="str">
        <f t="shared" si="8"/>
        <v/>
      </c>
      <c r="U24" s="474" t="str">
        <f t="shared" si="8"/>
        <v/>
      </c>
      <c r="V24" s="449"/>
    </row>
    <row r="25" spans="2:29">
      <c r="B25" s="517" t="s">
        <v>1619</v>
      </c>
      <c r="C25" s="518"/>
      <c r="D25" s="472">
        <f>IF(C25=0,0,(D$7/$C$9)*$C25)</f>
        <v>0</v>
      </c>
      <c r="E25" s="473" t="str">
        <f>IF(E1=1,IF(D25=0,0,(E$7/$C9)*$C25),"")</f>
        <v/>
      </c>
      <c r="F25" s="473" t="str">
        <f t="shared" ref="F25:U25" si="9">IF(F1=1,IF(E25=0,0,(F$7/$C9)*$C25),"")</f>
        <v/>
      </c>
      <c r="G25" s="473" t="str">
        <f t="shared" si="9"/>
        <v/>
      </c>
      <c r="H25" s="473" t="str">
        <f t="shared" si="9"/>
        <v/>
      </c>
      <c r="I25" s="473" t="str">
        <f t="shared" si="9"/>
        <v/>
      </c>
      <c r="J25" s="473" t="str">
        <f t="shared" si="9"/>
        <v/>
      </c>
      <c r="K25" s="473" t="str">
        <f t="shared" si="9"/>
        <v/>
      </c>
      <c r="L25" s="473" t="str">
        <f t="shared" si="9"/>
        <v/>
      </c>
      <c r="M25" s="473" t="str">
        <f t="shared" si="9"/>
        <v/>
      </c>
      <c r="N25" s="473" t="str">
        <f t="shared" si="9"/>
        <v/>
      </c>
      <c r="O25" s="473" t="str">
        <f t="shared" si="9"/>
        <v/>
      </c>
      <c r="P25" s="473" t="str">
        <f t="shared" si="9"/>
        <v/>
      </c>
      <c r="Q25" s="473" t="str">
        <f t="shared" si="9"/>
        <v/>
      </c>
      <c r="R25" s="473" t="str">
        <f t="shared" si="9"/>
        <v/>
      </c>
      <c r="S25" s="473" t="str">
        <f t="shared" si="9"/>
        <v/>
      </c>
      <c r="T25" s="473" t="str">
        <f t="shared" si="9"/>
        <v/>
      </c>
      <c r="U25" s="474" t="str">
        <f t="shared" si="9"/>
        <v/>
      </c>
      <c r="V25" s="449"/>
    </row>
    <row r="26" spans="2:29">
      <c r="B26" s="467" t="s">
        <v>1977</v>
      </c>
      <c r="C26" s="471"/>
      <c r="D26" s="472">
        <f>SUM(D22:D25)</f>
        <v>0</v>
      </c>
      <c r="E26" s="473" t="str">
        <f>IF(E$1=1,SUM(E22:E25),"")</f>
        <v/>
      </c>
      <c r="F26" s="473" t="str">
        <f>IF(F$1=1,SUM(F22:F25),"")</f>
        <v/>
      </c>
      <c r="G26" s="473" t="str">
        <f t="shared" ref="G26:U26" si="10">IF(G$1=1,SUM(G22:G25),"")</f>
        <v/>
      </c>
      <c r="H26" s="473" t="str">
        <f t="shared" si="10"/>
        <v/>
      </c>
      <c r="I26" s="473" t="str">
        <f t="shared" si="10"/>
        <v/>
      </c>
      <c r="J26" s="473" t="str">
        <f t="shared" si="10"/>
        <v/>
      </c>
      <c r="K26" s="473" t="str">
        <f t="shared" si="10"/>
        <v/>
      </c>
      <c r="L26" s="473" t="str">
        <f t="shared" si="10"/>
        <v/>
      </c>
      <c r="M26" s="473" t="str">
        <f t="shared" si="10"/>
        <v/>
      </c>
      <c r="N26" s="473" t="str">
        <f t="shared" si="10"/>
        <v/>
      </c>
      <c r="O26" s="473" t="str">
        <f t="shared" si="10"/>
        <v/>
      </c>
      <c r="P26" s="473" t="str">
        <f t="shared" si="10"/>
        <v/>
      </c>
      <c r="Q26" s="473" t="str">
        <f t="shared" si="10"/>
        <v/>
      </c>
      <c r="R26" s="473" t="str">
        <f t="shared" si="10"/>
        <v/>
      </c>
      <c r="S26" s="473" t="str">
        <f t="shared" si="10"/>
        <v/>
      </c>
      <c r="T26" s="473" t="str">
        <f t="shared" si="10"/>
        <v/>
      </c>
      <c r="U26" s="474" t="str">
        <f t="shared" si="10"/>
        <v/>
      </c>
      <c r="V26" s="449"/>
    </row>
    <row r="27" spans="2:29">
      <c r="B27" s="467" t="s">
        <v>1862</v>
      </c>
      <c r="C27" s="471">
        <f>SUM(D27:U27)</f>
        <v>0</v>
      </c>
      <c r="D27" s="472">
        <f>SUM(D22:D25)*D5</f>
        <v>0</v>
      </c>
      <c r="E27" s="473" t="str">
        <f t="shared" ref="E27:U27" si="11">IF(E$1=1,SUM(E22:E25)*E5,"")</f>
        <v/>
      </c>
      <c r="F27" s="473" t="str">
        <f t="shared" si="11"/>
        <v/>
      </c>
      <c r="G27" s="473" t="str">
        <f t="shared" si="11"/>
        <v/>
      </c>
      <c r="H27" s="473" t="str">
        <f t="shared" si="11"/>
        <v/>
      </c>
      <c r="I27" s="473" t="str">
        <f t="shared" si="11"/>
        <v/>
      </c>
      <c r="J27" s="473" t="str">
        <f t="shared" si="11"/>
        <v/>
      </c>
      <c r="K27" s="473" t="str">
        <f t="shared" si="11"/>
        <v/>
      </c>
      <c r="L27" s="473" t="str">
        <f t="shared" si="11"/>
        <v/>
      </c>
      <c r="M27" s="473" t="str">
        <f t="shared" si="11"/>
        <v/>
      </c>
      <c r="N27" s="473" t="str">
        <f t="shared" si="11"/>
        <v/>
      </c>
      <c r="O27" s="473" t="str">
        <f t="shared" si="11"/>
        <v/>
      </c>
      <c r="P27" s="473" t="str">
        <f t="shared" si="11"/>
        <v/>
      </c>
      <c r="Q27" s="473" t="str">
        <f t="shared" si="11"/>
        <v/>
      </c>
      <c r="R27" s="473" t="str">
        <f t="shared" si="11"/>
        <v/>
      </c>
      <c r="S27" s="473" t="str">
        <f t="shared" si="11"/>
        <v/>
      </c>
      <c r="T27" s="473" t="str">
        <f t="shared" si="11"/>
        <v/>
      </c>
      <c r="U27" s="474" t="str">
        <f t="shared" si="11"/>
        <v/>
      </c>
      <c r="V27" s="449"/>
    </row>
    <row r="28" spans="2:29">
      <c r="B28" s="467"/>
      <c r="C28" s="468"/>
      <c r="D28" s="238"/>
      <c r="E28" s="465"/>
      <c r="F28" s="465"/>
      <c r="G28" s="465"/>
      <c r="H28" s="465"/>
      <c r="I28" s="465"/>
      <c r="J28" s="465"/>
      <c r="K28" s="465"/>
      <c r="L28" s="465"/>
      <c r="M28" s="465"/>
      <c r="N28" s="465"/>
      <c r="O28" s="465"/>
      <c r="P28" s="465"/>
      <c r="Q28" s="465"/>
      <c r="R28" s="465"/>
      <c r="S28" s="465"/>
      <c r="T28" s="465"/>
      <c r="U28" s="707"/>
      <c r="V28" s="122"/>
    </row>
    <row r="29" spans="2:29">
      <c r="B29" s="476" t="s">
        <v>1863</v>
      </c>
      <c r="C29" s="477"/>
      <c r="D29" s="478"/>
      <c r="E29" s="479"/>
      <c r="F29" s="479"/>
      <c r="G29" s="479"/>
      <c r="H29" s="479"/>
      <c r="I29" s="479"/>
      <c r="J29" s="479"/>
      <c r="K29" s="479"/>
      <c r="L29" s="479"/>
      <c r="M29" s="479"/>
      <c r="N29" s="479"/>
      <c r="O29" s="479"/>
      <c r="P29" s="479"/>
      <c r="Q29" s="479"/>
      <c r="R29" s="479"/>
      <c r="S29" s="479"/>
      <c r="T29" s="479"/>
      <c r="U29" s="480"/>
      <c r="V29" s="122"/>
    </row>
    <row r="30" spans="2:29">
      <c r="B30" s="467"/>
      <c r="C30" s="471"/>
      <c r="D30" s="472"/>
      <c r="E30" s="473"/>
      <c r="F30" s="473"/>
      <c r="G30" s="473"/>
      <c r="H30" s="473"/>
      <c r="I30" s="473"/>
      <c r="J30" s="473"/>
      <c r="K30" s="473"/>
      <c r="L30" s="473"/>
      <c r="M30" s="473"/>
      <c r="N30" s="473"/>
      <c r="O30" s="473"/>
      <c r="P30" s="473"/>
      <c r="Q30" s="473"/>
      <c r="R30" s="473"/>
      <c r="S30" s="473"/>
      <c r="T30" s="473"/>
      <c r="U30" s="474"/>
      <c r="V30" s="449"/>
    </row>
    <row r="31" spans="2:29">
      <c r="B31" s="467" t="s">
        <v>1150</v>
      </c>
      <c r="C31" s="471"/>
      <c r="D31" s="472" t="e">
        <f>($D$7/$C$9)*'Building Information'!$C$18</f>
        <v>#DIV/0!</v>
      </c>
      <c r="E31" s="473" t="str">
        <f>IF(E1=1,((E$7/$C$9)*'Building Information'!$C$18),"")</f>
        <v/>
      </c>
      <c r="F31" s="473" t="str">
        <f>IF(F1=1,((F$7/$C$9)*'Building Information'!$C$18),"")</f>
        <v/>
      </c>
      <c r="G31" s="473" t="str">
        <f>IF(G1=1,((G$7/$C$9)*'Building Information'!$C$18),"")</f>
        <v/>
      </c>
      <c r="H31" s="473" t="str">
        <f>IF(H1=1,((H$7/$C$9)*'Building Information'!$C$18),"")</f>
        <v/>
      </c>
      <c r="I31" s="473" t="str">
        <f>IF(I1=1,((I$7/$C$9)*'Building Information'!$C$18),"")</f>
        <v/>
      </c>
      <c r="J31" s="473" t="str">
        <f>IF(J1=1,((J$7/$C$9)*'Building Information'!$C$18),"")</f>
        <v/>
      </c>
      <c r="K31" s="473" t="str">
        <f>IF(K1=1,((K$7/$C$9)*'Building Information'!$C$18),"")</f>
        <v/>
      </c>
      <c r="L31" s="473" t="str">
        <f>IF(L1=1,((L$7/$C$9)*'Building Information'!$C$18),"")</f>
        <v/>
      </c>
      <c r="M31" s="473" t="str">
        <f>IF(M1=1,((M$7/$C$9)*'Building Information'!$C$18),"")</f>
        <v/>
      </c>
      <c r="N31" s="473" t="str">
        <f>IF(N1=1,((N$7/$C$9)*'Building Information'!$C$18),"")</f>
        <v/>
      </c>
      <c r="O31" s="473" t="str">
        <f>IF(O1=1,((O$7/$C$9)*'Building Information'!$C$18),"")</f>
        <v/>
      </c>
      <c r="P31" s="473" t="str">
        <f>IF(P1=1,((P$7/$C$9)*'Building Information'!$C$18),"")</f>
        <v/>
      </c>
      <c r="Q31" s="473" t="str">
        <f>IF(Q1=1,((Q$7/$C$9)*'Building Information'!$C$18),"")</f>
        <v/>
      </c>
      <c r="R31" s="473" t="str">
        <f>IF(R1=1,((R$7/$C$9)*'Building Information'!$C$18),"")</f>
        <v/>
      </c>
      <c r="S31" s="473" t="str">
        <f>IF(S1=1,((S$7/$C$9)*'Building Information'!$C$18),"")</f>
        <v/>
      </c>
      <c r="T31" s="473" t="str">
        <f>IF(T1=1,((T$7/$C$9)*'Building Information'!$C$18),"")</f>
        <v/>
      </c>
      <c r="U31" s="474" t="str">
        <f>IF(U1=1,((U$7/$C$9)*'Building Information'!$C$18),"")</f>
        <v/>
      </c>
      <c r="V31" s="449"/>
    </row>
    <row r="32" spans="2:29" s="275" customFormat="1">
      <c r="B32" s="481" t="s">
        <v>1184</v>
      </c>
      <c r="C32" s="482"/>
      <c r="D32" s="483" t="e">
        <f>($D$7/$C$9)*'Building Information'!$C$20</f>
        <v>#DIV/0!</v>
      </c>
      <c r="E32" s="484" t="str">
        <f>IF(E1=1,((E$7/$C$9)*'Building Information'!$C$20),"")</f>
        <v/>
      </c>
      <c r="F32" s="484" t="str">
        <f>IF(F1=1,((F$7/$C$9)*'Building Information'!$C$20),"")</f>
        <v/>
      </c>
      <c r="G32" s="484" t="str">
        <f>IF(G1=1,((G$7/$C$9)*'Building Information'!$C$20),"")</f>
        <v/>
      </c>
      <c r="H32" s="484" t="str">
        <f>IF(H1=1,((H$7/$C$9)*'Building Information'!$C$20),"")</f>
        <v/>
      </c>
      <c r="I32" s="484" t="str">
        <f>IF(I1=1,((I$7/$C$9)*'Building Information'!$C$20),"")</f>
        <v/>
      </c>
      <c r="J32" s="484" t="str">
        <f>IF(J1=1,((J$7/$C$9)*'Building Information'!$C$20),"")</f>
        <v/>
      </c>
      <c r="K32" s="484" t="str">
        <f>IF(K1=1,((K$7/$C$9)*'Building Information'!$C$20),"")</f>
        <v/>
      </c>
      <c r="L32" s="484" t="str">
        <f>IF(L1=1,((L$7/$C$9)*'Building Information'!$C$20),"")</f>
        <v/>
      </c>
      <c r="M32" s="484" t="str">
        <f>IF(M1=1,((M$7/$C$9)*'Building Information'!$C$20),"")</f>
        <v/>
      </c>
      <c r="N32" s="484" t="str">
        <f>IF(N1=1,((N$7/$C$9)*'Building Information'!$C$20),"")</f>
        <v/>
      </c>
      <c r="O32" s="484" t="str">
        <f>IF(O1=1,((O$7/$C$9)*'Building Information'!$C$20),"")</f>
        <v/>
      </c>
      <c r="P32" s="484" t="str">
        <f>IF(P1=1,((P$7/$C$9)*'Building Information'!$C$20),"")</f>
        <v/>
      </c>
      <c r="Q32" s="484" t="str">
        <f>IF(Q1=1,((Q$7/$C$9)*'Building Information'!$C$20),"")</f>
        <v/>
      </c>
      <c r="R32" s="484" t="str">
        <f>IF(R1=1,((R$7/$C$9)*'Building Information'!$C$20),"")</f>
        <v/>
      </c>
      <c r="S32" s="484" t="str">
        <f>IF(S1=1,((S$7/$C$9)*'Building Information'!$C$20),"")</f>
        <v/>
      </c>
      <c r="T32" s="484" t="str">
        <f>IF(T1=1,((T$7/$C$9)*'Building Information'!$C$20),"")</f>
        <v/>
      </c>
      <c r="U32" s="536" t="str">
        <f>IF(U1=1,((U$7/$C$9)*'Building Information'!$C$20),"")</f>
        <v/>
      </c>
      <c r="V32" s="534"/>
    </row>
    <row r="33" spans="2:29">
      <c r="B33" s="467" t="s">
        <v>1620</v>
      </c>
      <c r="C33" s="471" t="e">
        <f>SUM(D33:U33)</f>
        <v>#DIV/0!</v>
      </c>
      <c r="D33" s="472" t="e">
        <f>+(D31+D32)*D$5</f>
        <v>#DIV/0!</v>
      </c>
      <c r="E33" s="473" t="str">
        <f>IF(E1=1,(E31+E32)*E$5,"")</f>
        <v/>
      </c>
      <c r="F33" s="473" t="str">
        <f t="shared" ref="F33:U33" si="12">IF(F1=1,(F31+F32)*F$5,"")</f>
        <v/>
      </c>
      <c r="G33" s="473" t="str">
        <f t="shared" si="12"/>
        <v/>
      </c>
      <c r="H33" s="473" t="str">
        <f t="shared" si="12"/>
        <v/>
      </c>
      <c r="I33" s="473" t="str">
        <f t="shared" si="12"/>
        <v/>
      </c>
      <c r="J33" s="473" t="str">
        <f t="shared" si="12"/>
        <v/>
      </c>
      <c r="K33" s="473" t="str">
        <f t="shared" si="12"/>
        <v/>
      </c>
      <c r="L33" s="473" t="str">
        <f t="shared" si="12"/>
        <v/>
      </c>
      <c r="M33" s="473" t="str">
        <f t="shared" si="12"/>
        <v/>
      </c>
      <c r="N33" s="473" t="str">
        <f t="shared" si="12"/>
        <v/>
      </c>
      <c r="O33" s="473" t="str">
        <f t="shared" si="12"/>
        <v/>
      </c>
      <c r="P33" s="473" t="str">
        <f t="shared" si="12"/>
        <v/>
      </c>
      <c r="Q33" s="473" t="str">
        <f t="shared" si="12"/>
        <v/>
      </c>
      <c r="R33" s="473" t="str">
        <f t="shared" si="12"/>
        <v/>
      </c>
      <c r="S33" s="473" t="str">
        <f t="shared" si="12"/>
        <v/>
      </c>
      <c r="T33" s="473" t="str">
        <f t="shared" si="12"/>
        <v/>
      </c>
      <c r="U33" s="473" t="str">
        <f t="shared" si="12"/>
        <v/>
      </c>
      <c r="V33" s="449"/>
    </row>
    <row r="34" spans="2:29">
      <c r="B34" s="467"/>
      <c r="C34" s="471"/>
      <c r="D34" s="472"/>
      <c r="E34" s="473"/>
      <c r="F34" s="473"/>
      <c r="G34" s="473"/>
      <c r="H34" s="473"/>
      <c r="I34" s="473"/>
      <c r="J34" s="473"/>
      <c r="K34" s="473"/>
      <c r="L34" s="473"/>
      <c r="M34" s="473"/>
      <c r="N34" s="473"/>
      <c r="O34" s="473"/>
      <c r="P34" s="473"/>
      <c r="Q34" s="473"/>
      <c r="R34" s="473"/>
      <c r="S34" s="473"/>
      <c r="T34" s="473"/>
      <c r="U34" s="474"/>
      <c r="V34" s="449"/>
    </row>
    <row r="35" spans="2:29">
      <c r="B35" s="467" t="s">
        <v>1186</v>
      </c>
      <c r="C35" s="471"/>
      <c r="D35" s="514">
        <v>0</v>
      </c>
      <c r="E35" s="515">
        <v>0</v>
      </c>
      <c r="F35" s="515">
        <v>0</v>
      </c>
      <c r="G35" s="515">
        <v>0</v>
      </c>
      <c r="H35" s="515">
        <v>0</v>
      </c>
      <c r="I35" s="515">
        <v>0</v>
      </c>
      <c r="J35" s="515">
        <v>0</v>
      </c>
      <c r="K35" s="515">
        <v>0</v>
      </c>
      <c r="L35" s="515">
        <v>0</v>
      </c>
      <c r="M35" s="515">
        <v>0</v>
      </c>
      <c r="N35" s="515">
        <v>0</v>
      </c>
      <c r="O35" s="515">
        <v>0</v>
      </c>
      <c r="P35" s="515">
        <v>0</v>
      </c>
      <c r="Q35" s="515">
        <v>0</v>
      </c>
      <c r="R35" s="515">
        <v>0</v>
      </c>
      <c r="S35" s="515">
        <v>0</v>
      </c>
      <c r="T35" s="515">
        <v>0</v>
      </c>
      <c r="U35" s="516">
        <v>0</v>
      </c>
      <c r="V35" s="449"/>
    </row>
    <row r="36" spans="2:29">
      <c r="B36" s="481" t="s">
        <v>1185</v>
      </c>
      <c r="C36" s="471"/>
      <c r="D36" s="514">
        <v>0</v>
      </c>
      <c r="E36" s="515">
        <v>0</v>
      </c>
      <c r="F36" s="515">
        <v>0</v>
      </c>
      <c r="G36" s="515">
        <v>0</v>
      </c>
      <c r="H36" s="515">
        <v>0</v>
      </c>
      <c r="I36" s="515">
        <v>0</v>
      </c>
      <c r="J36" s="515">
        <v>0</v>
      </c>
      <c r="K36" s="515">
        <v>0</v>
      </c>
      <c r="L36" s="515">
        <v>0</v>
      </c>
      <c r="M36" s="515">
        <v>0</v>
      </c>
      <c r="N36" s="515">
        <v>0</v>
      </c>
      <c r="O36" s="515">
        <v>0</v>
      </c>
      <c r="P36" s="515">
        <v>0</v>
      </c>
      <c r="Q36" s="515">
        <v>0</v>
      </c>
      <c r="R36" s="515">
        <v>0</v>
      </c>
      <c r="S36" s="515">
        <v>0</v>
      </c>
      <c r="T36" s="515">
        <v>0</v>
      </c>
      <c r="U36" s="516">
        <v>0</v>
      </c>
      <c r="V36" s="449"/>
    </row>
    <row r="37" spans="2:29">
      <c r="B37" s="467" t="s">
        <v>1620</v>
      </c>
      <c r="C37" s="471">
        <f>SUM(D37:U37)</f>
        <v>0</v>
      </c>
      <c r="D37" s="472">
        <f>+(D35+D36)*D$5</f>
        <v>0</v>
      </c>
      <c r="E37" s="473" t="str">
        <f>IF(E1=1,(E35+E36)*E$5,"")</f>
        <v/>
      </c>
      <c r="F37" s="473" t="str">
        <f t="shared" ref="F37:U37" si="13">IF(F1=1,(F35+F36)*F$5,"")</f>
        <v/>
      </c>
      <c r="G37" s="473" t="str">
        <f t="shared" si="13"/>
        <v/>
      </c>
      <c r="H37" s="473" t="str">
        <f t="shared" si="13"/>
        <v/>
      </c>
      <c r="I37" s="473" t="str">
        <f t="shared" si="13"/>
        <v/>
      </c>
      <c r="J37" s="473" t="str">
        <f t="shared" si="13"/>
        <v/>
      </c>
      <c r="K37" s="473" t="str">
        <f t="shared" si="13"/>
        <v/>
      </c>
      <c r="L37" s="473" t="str">
        <f t="shared" si="13"/>
        <v/>
      </c>
      <c r="M37" s="473" t="str">
        <f t="shared" si="13"/>
        <v/>
      </c>
      <c r="N37" s="473" t="str">
        <f t="shared" si="13"/>
        <v/>
      </c>
      <c r="O37" s="473" t="str">
        <f t="shared" si="13"/>
        <v/>
      </c>
      <c r="P37" s="473" t="str">
        <f t="shared" si="13"/>
        <v/>
      </c>
      <c r="Q37" s="473" t="str">
        <f t="shared" si="13"/>
        <v/>
      </c>
      <c r="R37" s="473" t="str">
        <f t="shared" si="13"/>
        <v/>
      </c>
      <c r="S37" s="473" t="str">
        <f t="shared" si="13"/>
        <v/>
      </c>
      <c r="T37" s="473" t="str">
        <f t="shared" si="13"/>
        <v/>
      </c>
      <c r="U37" s="473" t="str">
        <f t="shared" si="13"/>
        <v/>
      </c>
      <c r="V37" s="449"/>
    </row>
    <row r="38" spans="2:29">
      <c r="B38" s="467"/>
      <c r="C38" s="471"/>
      <c r="D38" s="472"/>
      <c r="E38" s="473"/>
      <c r="F38" s="473"/>
      <c r="G38" s="473"/>
      <c r="H38" s="473"/>
      <c r="I38" s="473"/>
      <c r="J38" s="473"/>
      <c r="K38" s="473"/>
      <c r="L38" s="473"/>
      <c r="M38" s="473"/>
      <c r="N38" s="473"/>
      <c r="O38" s="473"/>
      <c r="P38" s="473"/>
      <c r="Q38" s="473"/>
      <c r="R38" s="473"/>
      <c r="S38" s="473"/>
      <c r="T38" s="473"/>
      <c r="U38" s="474"/>
      <c r="V38" s="449"/>
    </row>
    <row r="39" spans="2:29">
      <c r="B39" s="467" t="s">
        <v>1147</v>
      </c>
      <c r="C39" s="471"/>
      <c r="D39" s="472" t="e">
        <f>+D31-D35</f>
        <v>#DIV/0!</v>
      </c>
      <c r="E39" s="473" t="str">
        <f t="shared" ref="E39:U39" si="14">IF(E1=1,+E31-E35,"")</f>
        <v/>
      </c>
      <c r="F39" s="473" t="str">
        <f t="shared" si="14"/>
        <v/>
      </c>
      <c r="G39" s="473" t="str">
        <f t="shared" si="14"/>
        <v/>
      </c>
      <c r="H39" s="473" t="str">
        <f t="shared" si="14"/>
        <v/>
      </c>
      <c r="I39" s="473" t="str">
        <f t="shared" si="14"/>
        <v/>
      </c>
      <c r="J39" s="473" t="str">
        <f t="shared" si="14"/>
        <v/>
      </c>
      <c r="K39" s="473" t="str">
        <f t="shared" si="14"/>
        <v/>
      </c>
      <c r="L39" s="473" t="str">
        <f t="shared" si="14"/>
        <v/>
      </c>
      <c r="M39" s="473" t="str">
        <f t="shared" si="14"/>
        <v/>
      </c>
      <c r="N39" s="473" t="str">
        <f t="shared" si="14"/>
        <v/>
      </c>
      <c r="O39" s="473" t="str">
        <f t="shared" si="14"/>
        <v/>
      </c>
      <c r="P39" s="473" t="str">
        <f t="shared" si="14"/>
        <v/>
      </c>
      <c r="Q39" s="473" t="str">
        <f t="shared" si="14"/>
        <v/>
      </c>
      <c r="R39" s="473" t="str">
        <f t="shared" si="14"/>
        <v/>
      </c>
      <c r="S39" s="473" t="str">
        <f t="shared" si="14"/>
        <v/>
      </c>
      <c r="T39" s="473" t="str">
        <f t="shared" si="14"/>
        <v/>
      </c>
      <c r="U39" s="474" t="str">
        <f t="shared" si="14"/>
        <v/>
      </c>
      <c r="V39" s="449"/>
    </row>
    <row r="40" spans="2:29">
      <c r="B40" s="481" t="s">
        <v>1149</v>
      </c>
      <c r="C40" s="482"/>
      <c r="D40" s="483" t="e">
        <f>+D32-D36</f>
        <v>#DIV/0!</v>
      </c>
      <c r="E40" s="484" t="str">
        <f>IF(E1=1,+E32-E36,"")</f>
        <v/>
      </c>
      <c r="F40" s="484" t="str">
        <f t="shared" ref="F40:U40" si="15">IF(F1=1,+F32-F36,"")</f>
        <v/>
      </c>
      <c r="G40" s="484" t="str">
        <f t="shared" si="15"/>
        <v/>
      </c>
      <c r="H40" s="484" t="str">
        <f t="shared" si="15"/>
        <v/>
      </c>
      <c r="I40" s="484" t="str">
        <f t="shared" si="15"/>
        <v/>
      </c>
      <c r="J40" s="484" t="str">
        <f t="shared" si="15"/>
        <v/>
      </c>
      <c r="K40" s="484" t="str">
        <f t="shared" si="15"/>
        <v/>
      </c>
      <c r="L40" s="484" t="str">
        <f t="shared" si="15"/>
        <v/>
      </c>
      <c r="M40" s="484" t="str">
        <f t="shared" si="15"/>
        <v/>
      </c>
      <c r="N40" s="484" t="str">
        <f t="shared" si="15"/>
        <v/>
      </c>
      <c r="O40" s="484" t="str">
        <f t="shared" si="15"/>
        <v/>
      </c>
      <c r="P40" s="484" t="str">
        <f t="shared" si="15"/>
        <v/>
      </c>
      <c r="Q40" s="484" t="str">
        <f t="shared" si="15"/>
        <v/>
      </c>
      <c r="R40" s="484" t="str">
        <f t="shared" si="15"/>
        <v/>
      </c>
      <c r="S40" s="484" t="str">
        <f t="shared" si="15"/>
        <v/>
      </c>
      <c r="T40" s="484" t="str">
        <f t="shared" si="15"/>
        <v/>
      </c>
      <c r="U40" s="536" t="str">
        <f t="shared" si="15"/>
        <v/>
      </c>
      <c r="V40" s="534"/>
      <c r="W40" s="275"/>
      <c r="X40" s="275"/>
      <c r="Y40" s="275"/>
      <c r="Z40" s="275"/>
      <c r="AA40" s="275"/>
      <c r="AB40" s="275"/>
      <c r="AC40" s="275"/>
    </row>
    <row r="41" spans="2:29">
      <c r="B41" s="467" t="s">
        <v>1034</v>
      </c>
      <c r="C41" s="471" t="e">
        <f>SUM(D41:U41)</f>
        <v>#DIV/0!</v>
      </c>
      <c r="D41" s="472" t="e">
        <f>+(D39+D40)*D$5</f>
        <v>#DIV/0!</v>
      </c>
      <c r="E41" s="473" t="str">
        <f>IF(E$1=1,(E39+E40)*E$5,"")</f>
        <v/>
      </c>
      <c r="F41" s="473" t="str">
        <f t="shared" ref="F41:U41" si="16">IF(F$1=1,(F39+F40)*F$5,"")</f>
        <v/>
      </c>
      <c r="G41" s="473" t="str">
        <f t="shared" si="16"/>
        <v/>
      </c>
      <c r="H41" s="473" t="str">
        <f t="shared" si="16"/>
        <v/>
      </c>
      <c r="I41" s="473" t="str">
        <f t="shared" si="16"/>
        <v/>
      </c>
      <c r="J41" s="473" t="str">
        <f t="shared" si="16"/>
        <v/>
      </c>
      <c r="K41" s="473" t="str">
        <f t="shared" si="16"/>
        <v/>
      </c>
      <c r="L41" s="473" t="str">
        <f t="shared" si="16"/>
        <v/>
      </c>
      <c r="M41" s="473" t="str">
        <f t="shared" si="16"/>
        <v/>
      </c>
      <c r="N41" s="473" t="str">
        <f t="shared" si="16"/>
        <v/>
      </c>
      <c r="O41" s="473" t="str">
        <f t="shared" si="16"/>
        <v/>
      </c>
      <c r="P41" s="473" t="str">
        <f t="shared" si="16"/>
        <v/>
      </c>
      <c r="Q41" s="473" t="str">
        <f t="shared" si="16"/>
        <v/>
      </c>
      <c r="R41" s="473" t="str">
        <f t="shared" si="16"/>
        <v/>
      </c>
      <c r="S41" s="473" t="str">
        <f t="shared" si="16"/>
        <v/>
      </c>
      <c r="T41" s="473" t="str">
        <f t="shared" si="16"/>
        <v/>
      </c>
      <c r="U41" s="473" t="str">
        <f t="shared" si="16"/>
        <v/>
      </c>
      <c r="V41" s="449"/>
    </row>
    <row r="42" spans="2:29">
      <c r="B42" s="467"/>
      <c r="C42" s="471"/>
      <c r="D42" s="472"/>
      <c r="E42" s="473"/>
      <c r="F42" s="473"/>
      <c r="G42" s="473"/>
      <c r="H42" s="473"/>
      <c r="I42" s="473"/>
      <c r="J42" s="473"/>
      <c r="K42" s="473"/>
      <c r="L42" s="473"/>
      <c r="M42" s="473"/>
      <c r="N42" s="473"/>
      <c r="O42" s="473"/>
      <c r="P42" s="473"/>
      <c r="Q42" s="473"/>
      <c r="R42" s="473"/>
      <c r="S42" s="473"/>
      <c r="T42" s="473"/>
      <c r="U42" s="474"/>
      <c r="V42" s="449"/>
    </row>
    <row r="43" spans="2:29">
      <c r="B43" s="467" t="s">
        <v>1148</v>
      </c>
      <c r="C43" s="471"/>
      <c r="D43" s="472" t="e">
        <f>+D39*(1+('Primary Input'!$H$25*0.3))</f>
        <v>#DIV/0!</v>
      </c>
      <c r="E43" s="473" t="str">
        <f>IF(E1=1,+E39*(1+('Primary Input'!$H$25*0.3)),"")</f>
        <v/>
      </c>
      <c r="F43" s="473" t="str">
        <f>IF(F1=1,+F39*(1+('Primary Input'!$H$25*0.3)),"")</f>
        <v/>
      </c>
      <c r="G43" s="473" t="str">
        <f>IF(G1=1,+G39*(1+('Primary Input'!$H$25*0.3)),"")</f>
        <v/>
      </c>
      <c r="H43" s="473" t="str">
        <f>IF(H1=1,+H39*(1+('Primary Input'!$H$25*0.3)),"")</f>
        <v/>
      </c>
      <c r="I43" s="473" t="str">
        <f>IF(I1=1,+I39*(1+('Primary Input'!$H$25*0.3)),"")</f>
        <v/>
      </c>
      <c r="J43" s="473" t="str">
        <f>IF(J1=1,+J39*(1+('Primary Input'!$H$25*0.3)),"")</f>
        <v/>
      </c>
      <c r="K43" s="473" t="str">
        <f>IF(K1=1,+K39*(1+('Primary Input'!$H$25*0.3)),"")</f>
        <v/>
      </c>
      <c r="L43" s="473" t="str">
        <f>IF(L1=1,+L39*(1+('Primary Input'!$H$25*0.3)),"")</f>
        <v/>
      </c>
      <c r="M43" s="473" t="str">
        <f>IF(M1=1,+M39*(1+('Primary Input'!$H$25*0.3)),"")</f>
        <v/>
      </c>
      <c r="N43" s="473" t="str">
        <f>IF(N1=1,+N39*(1+('Primary Input'!$H$25*0.3)),"")</f>
        <v/>
      </c>
      <c r="O43" s="473" t="str">
        <f>IF(O1=1,+O39*(1+('Primary Input'!$H$25*0.3)),"")</f>
        <v/>
      </c>
      <c r="P43" s="473" t="str">
        <f>IF(P1=1,+P39*(1+('Primary Input'!$H$25*0.3)),"")</f>
        <v/>
      </c>
      <c r="Q43" s="473" t="str">
        <f>IF(Q1=1,+Q39*(1+('Primary Input'!$H$25*0.3)),"")</f>
        <v/>
      </c>
      <c r="R43" s="473" t="str">
        <f>IF(R1=1,+R39*(1+('Primary Input'!$H$25*0.3)),"")</f>
        <v/>
      </c>
      <c r="S43" s="473" t="str">
        <f>IF(S1=1,+S39*(1+('Primary Input'!$H$25*0.3)),"")</f>
        <v/>
      </c>
      <c r="T43" s="473" t="str">
        <f>IF(T1=1,+T39*(1+('Primary Input'!$H$25*0.3)),"")</f>
        <v/>
      </c>
      <c r="U43" s="474" t="str">
        <f>IF(U1=1,+U39*(1+('Primary Input'!$H$25*0.3)),"")</f>
        <v/>
      </c>
      <c r="V43" s="449"/>
    </row>
    <row r="44" spans="2:29">
      <c r="B44" s="481" t="s">
        <v>1146</v>
      </c>
      <c r="C44" s="482"/>
      <c r="D44" s="483" t="e">
        <f>+D40</f>
        <v>#DIV/0!</v>
      </c>
      <c r="E44" s="484" t="str">
        <f>IF(E$1=1,+E40,"")</f>
        <v/>
      </c>
      <c r="F44" s="484" t="str">
        <f t="shared" ref="F44:U44" si="17">IF(F$1=1,+F40,"")</f>
        <v/>
      </c>
      <c r="G44" s="484" t="str">
        <f t="shared" si="17"/>
        <v/>
      </c>
      <c r="H44" s="484" t="str">
        <f t="shared" si="17"/>
        <v/>
      </c>
      <c r="I44" s="484" t="str">
        <f t="shared" si="17"/>
        <v/>
      </c>
      <c r="J44" s="484" t="str">
        <f t="shared" si="17"/>
        <v/>
      </c>
      <c r="K44" s="484" t="str">
        <f t="shared" si="17"/>
        <v/>
      </c>
      <c r="L44" s="484" t="str">
        <f t="shared" si="17"/>
        <v/>
      </c>
      <c r="M44" s="484" t="str">
        <f t="shared" si="17"/>
        <v/>
      </c>
      <c r="N44" s="484" t="str">
        <f t="shared" si="17"/>
        <v/>
      </c>
      <c r="O44" s="484" t="str">
        <f t="shared" si="17"/>
        <v/>
      </c>
      <c r="P44" s="484" t="str">
        <f t="shared" si="17"/>
        <v/>
      </c>
      <c r="Q44" s="484" t="str">
        <f t="shared" si="17"/>
        <v/>
      </c>
      <c r="R44" s="484" t="str">
        <f t="shared" si="17"/>
        <v/>
      </c>
      <c r="S44" s="484" t="str">
        <f t="shared" si="17"/>
        <v/>
      </c>
      <c r="T44" s="484" t="str">
        <f t="shared" si="17"/>
        <v/>
      </c>
      <c r="U44" s="536" t="str">
        <f t="shared" si="17"/>
        <v/>
      </c>
      <c r="V44" s="534"/>
      <c r="W44" s="275"/>
      <c r="X44" s="275"/>
      <c r="Y44" s="275"/>
      <c r="Z44" s="275"/>
      <c r="AA44" s="275"/>
      <c r="AB44" s="275"/>
    </row>
    <row r="45" spans="2:29">
      <c r="B45" s="467" t="s">
        <v>1035</v>
      </c>
      <c r="C45" s="471" t="e">
        <f>SUM(D45:U45)</f>
        <v>#DIV/0!</v>
      </c>
      <c r="D45" s="472" t="e">
        <f>+D41*(1+('Primary Input'!$H$25*0.3))</f>
        <v>#DIV/0!</v>
      </c>
      <c r="E45" s="473" t="str">
        <f>IF(E1=1,+E41*(1+('Primary Input'!$H$25*0.3)),"")</f>
        <v/>
      </c>
      <c r="F45" s="473" t="str">
        <f>IF(F1=1,+F41*(1+('Primary Input'!$H$25*0.3)),"")</f>
        <v/>
      </c>
      <c r="G45" s="473" t="str">
        <f>IF(G1=1,+G41*(1+('Primary Input'!$H$25*0.3)),"")</f>
        <v/>
      </c>
      <c r="H45" s="473" t="str">
        <f>IF(H1=1,+H41*(1+('Primary Input'!$H$25*0.3)),"")</f>
        <v/>
      </c>
      <c r="I45" s="473" t="str">
        <f>IF(I1=1,+I41*(1+('Primary Input'!$H$25*0.3)),"")</f>
        <v/>
      </c>
      <c r="J45" s="473" t="str">
        <f>IF(J1=1,+J41*(1+('Primary Input'!$H$25*0.3)),"")</f>
        <v/>
      </c>
      <c r="K45" s="473" t="str">
        <f>IF(K1=1,+K41*(1+('Primary Input'!$H$25*0.3)),"")</f>
        <v/>
      </c>
      <c r="L45" s="473" t="str">
        <f>IF(L1=1,+L41*(1+('Primary Input'!$H$25*0.3)),"")</f>
        <v/>
      </c>
      <c r="M45" s="473" t="str">
        <f>IF(M1=1,+M41*(1+('Primary Input'!$H$25*0.3)),"")</f>
        <v/>
      </c>
      <c r="N45" s="473" t="str">
        <f>IF(N1=1,+N41*(1+('Primary Input'!$H$25*0.3)),"")</f>
        <v/>
      </c>
      <c r="O45" s="473" t="str">
        <f>IF(O1=1,+O41*(1+('Primary Input'!$H$25*0.3)),"")</f>
        <v/>
      </c>
      <c r="P45" s="473" t="str">
        <f>IF(P1=1,+P41*(1+('Primary Input'!$H$25*0.3)),"")</f>
        <v/>
      </c>
      <c r="Q45" s="473" t="str">
        <f>IF(Q1=1,+Q41*(1+('Primary Input'!$H$25*0.3)),"")</f>
        <v/>
      </c>
      <c r="R45" s="473" t="str">
        <f>IF(R1=1,+R41*(1+('Primary Input'!$H$25*0.3)),"")</f>
        <v/>
      </c>
      <c r="S45" s="473" t="str">
        <f>IF(S1=1,+S41*(1+('Primary Input'!$H$25*0.3)),"")</f>
        <v/>
      </c>
      <c r="T45" s="473" t="str">
        <f>IF(T1=1,+T41*(1+('Primary Input'!$H$25*0.3)),"")</f>
        <v/>
      </c>
      <c r="U45" s="474" t="str">
        <f>IF(U1=1,+U41*(1+('Primary Input'!$H$25*0.3)),"")</f>
        <v/>
      </c>
      <c r="V45" s="449"/>
    </row>
    <row r="46" spans="2:29">
      <c r="B46" s="467"/>
      <c r="C46" s="471"/>
      <c r="D46" s="472"/>
      <c r="E46" s="473"/>
      <c r="F46" s="473"/>
      <c r="G46" s="473"/>
      <c r="H46" s="473"/>
      <c r="I46" s="473"/>
      <c r="J46" s="473"/>
      <c r="K46" s="473"/>
      <c r="L46" s="473"/>
      <c r="M46" s="473"/>
      <c r="N46" s="473"/>
      <c r="O46" s="473"/>
      <c r="P46" s="473"/>
      <c r="Q46" s="473"/>
      <c r="R46" s="473"/>
      <c r="S46" s="473"/>
      <c r="T46" s="473"/>
      <c r="U46" s="474"/>
      <c r="V46" s="449"/>
    </row>
    <row r="47" spans="2:29" s="487" customFormat="1">
      <c r="B47" s="485" t="s">
        <v>1036</v>
      </c>
      <c r="C47" s="486"/>
      <c r="D47" s="519">
        <v>1</v>
      </c>
      <c r="E47" s="520">
        <v>1</v>
      </c>
      <c r="F47" s="520">
        <v>1</v>
      </c>
      <c r="G47" s="520">
        <v>1</v>
      </c>
      <c r="H47" s="520">
        <v>1</v>
      </c>
      <c r="I47" s="520">
        <v>1</v>
      </c>
      <c r="J47" s="520">
        <v>1</v>
      </c>
      <c r="K47" s="520">
        <v>1</v>
      </c>
      <c r="L47" s="520">
        <v>1</v>
      </c>
      <c r="M47" s="520">
        <v>1</v>
      </c>
      <c r="N47" s="520">
        <v>1</v>
      </c>
      <c r="O47" s="520">
        <v>1</v>
      </c>
      <c r="P47" s="520">
        <v>1</v>
      </c>
      <c r="Q47" s="520">
        <v>1</v>
      </c>
      <c r="R47" s="520">
        <v>1</v>
      </c>
      <c r="S47" s="520">
        <v>1</v>
      </c>
      <c r="T47" s="520">
        <v>1</v>
      </c>
      <c r="U47" s="521">
        <v>1</v>
      </c>
      <c r="V47" s="535"/>
    </row>
    <row r="48" spans="2:29">
      <c r="B48" s="467"/>
      <c r="C48" s="471"/>
      <c r="D48" s="472"/>
      <c r="E48" s="473"/>
      <c r="F48" s="473"/>
      <c r="G48" s="473"/>
      <c r="H48" s="473"/>
      <c r="I48" s="473"/>
      <c r="J48" s="473"/>
      <c r="K48" s="473"/>
      <c r="L48" s="473"/>
      <c r="M48" s="473"/>
      <c r="N48" s="473"/>
      <c r="O48" s="473"/>
      <c r="P48" s="473"/>
      <c r="Q48" s="473"/>
      <c r="R48" s="473"/>
      <c r="S48" s="473"/>
      <c r="T48" s="473"/>
      <c r="U48" s="474"/>
      <c r="V48" s="449"/>
    </row>
    <row r="49" spans="2:28">
      <c r="B49" s="467" t="s">
        <v>1144</v>
      </c>
      <c r="C49" s="471"/>
      <c r="D49" s="472" t="e">
        <f>+D$47*D43</f>
        <v>#DIV/0!</v>
      </c>
      <c r="E49" s="473" t="str">
        <f>IF(E$1=1,+E$47*E43,"")</f>
        <v/>
      </c>
      <c r="F49" s="473" t="str">
        <f t="shared" ref="F49:U49" si="18">IF(F1=1,+F$47*F43,"")</f>
        <v/>
      </c>
      <c r="G49" s="473" t="str">
        <f t="shared" si="18"/>
        <v/>
      </c>
      <c r="H49" s="473" t="str">
        <f t="shared" si="18"/>
        <v/>
      </c>
      <c r="I49" s="473" t="str">
        <f t="shared" si="18"/>
        <v/>
      </c>
      <c r="J49" s="473" t="str">
        <f t="shared" si="18"/>
        <v/>
      </c>
      <c r="K49" s="473" t="str">
        <f t="shared" si="18"/>
        <v/>
      </c>
      <c r="L49" s="473" t="str">
        <f t="shared" si="18"/>
        <v/>
      </c>
      <c r="M49" s="473" t="str">
        <f t="shared" si="18"/>
        <v/>
      </c>
      <c r="N49" s="473" t="str">
        <f t="shared" si="18"/>
        <v/>
      </c>
      <c r="O49" s="473" t="str">
        <f t="shared" si="18"/>
        <v/>
      </c>
      <c r="P49" s="473" t="str">
        <f t="shared" si="18"/>
        <v/>
      </c>
      <c r="Q49" s="473" t="str">
        <f t="shared" si="18"/>
        <v/>
      </c>
      <c r="R49" s="473" t="str">
        <f t="shared" si="18"/>
        <v/>
      </c>
      <c r="S49" s="473" t="str">
        <f t="shared" si="18"/>
        <v/>
      </c>
      <c r="T49" s="473" t="str">
        <f t="shared" si="18"/>
        <v/>
      </c>
      <c r="U49" s="474" t="str">
        <f t="shared" si="18"/>
        <v/>
      </c>
      <c r="V49" s="449"/>
    </row>
    <row r="50" spans="2:28">
      <c r="B50" s="481" t="s">
        <v>1145</v>
      </c>
      <c r="C50" s="482"/>
      <c r="D50" s="483" t="e">
        <f>+D$47*D44</f>
        <v>#DIV/0!</v>
      </c>
      <c r="E50" s="484" t="str">
        <f>IF(E$1=1,+E$47*E44,"")</f>
        <v/>
      </c>
      <c r="F50" s="484" t="str">
        <f t="shared" ref="F50:U50" si="19">IF(F$1=1,+F$47*F44,"")</f>
        <v/>
      </c>
      <c r="G50" s="484" t="str">
        <f t="shared" si="19"/>
        <v/>
      </c>
      <c r="H50" s="484" t="str">
        <f t="shared" si="19"/>
        <v/>
      </c>
      <c r="I50" s="484" t="str">
        <f t="shared" si="19"/>
        <v/>
      </c>
      <c r="J50" s="484" t="str">
        <f t="shared" si="19"/>
        <v/>
      </c>
      <c r="K50" s="484" t="str">
        <f t="shared" si="19"/>
        <v/>
      </c>
      <c r="L50" s="484" t="str">
        <f t="shared" si="19"/>
        <v/>
      </c>
      <c r="M50" s="484" t="str">
        <f t="shared" si="19"/>
        <v/>
      </c>
      <c r="N50" s="484" t="str">
        <f t="shared" si="19"/>
        <v/>
      </c>
      <c r="O50" s="484" t="str">
        <f t="shared" si="19"/>
        <v/>
      </c>
      <c r="P50" s="484" t="str">
        <f t="shared" si="19"/>
        <v/>
      </c>
      <c r="Q50" s="484" t="str">
        <f t="shared" si="19"/>
        <v/>
      </c>
      <c r="R50" s="484" t="str">
        <f t="shared" si="19"/>
        <v/>
      </c>
      <c r="S50" s="484" t="str">
        <f t="shared" si="19"/>
        <v/>
      </c>
      <c r="T50" s="484" t="str">
        <f t="shared" si="19"/>
        <v/>
      </c>
      <c r="U50" s="536" t="str">
        <f t="shared" si="19"/>
        <v/>
      </c>
      <c r="V50" s="449"/>
    </row>
    <row r="51" spans="2:28">
      <c r="B51" s="467" t="s">
        <v>1037</v>
      </c>
      <c r="C51" s="471" t="e">
        <f>SUM(D51:U51)</f>
        <v>#DIV/0!</v>
      </c>
      <c r="D51" s="472" t="e">
        <f>+D$47*D45</f>
        <v>#DIV/0!</v>
      </c>
      <c r="E51" s="473" t="str">
        <f t="shared" ref="E51:U51" si="20">IF(E1=1,+E$47*E45,"")</f>
        <v/>
      </c>
      <c r="F51" s="473" t="str">
        <f t="shared" si="20"/>
        <v/>
      </c>
      <c r="G51" s="473" t="str">
        <f t="shared" si="20"/>
        <v/>
      </c>
      <c r="H51" s="473" t="str">
        <f t="shared" si="20"/>
        <v/>
      </c>
      <c r="I51" s="473" t="str">
        <f t="shared" si="20"/>
        <v/>
      </c>
      <c r="J51" s="473" t="str">
        <f t="shared" si="20"/>
        <v/>
      </c>
      <c r="K51" s="473" t="str">
        <f t="shared" si="20"/>
        <v/>
      </c>
      <c r="L51" s="473" t="str">
        <f t="shared" si="20"/>
        <v/>
      </c>
      <c r="M51" s="473" t="str">
        <f t="shared" si="20"/>
        <v/>
      </c>
      <c r="N51" s="473" t="str">
        <f t="shared" si="20"/>
        <v/>
      </c>
      <c r="O51" s="473" t="str">
        <f t="shared" si="20"/>
        <v/>
      </c>
      <c r="P51" s="473" t="str">
        <f t="shared" si="20"/>
        <v/>
      </c>
      <c r="Q51" s="473" t="str">
        <f t="shared" si="20"/>
        <v/>
      </c>
      <c r="R51" s="473" t="str">
        <f t="shared" si="20"/>
        <v/>
      </c>
      <c r="S51" s="473" t="str">
        <f t="shared" si="20"/>
        <v/>
      </c>
      <c r="T51" s="473" t="str">
        <f t="shared" si="20"/>
        <v/>
      </c>
      <c r="U51" s="474" t="str">
        <f t="shared" si="20"/>
        <v/>
      </c>
      <c r="V51" s="449"/>
    </row>
    <row r="52" spans="2:28">
      <c r="B52" s="467"/>
      <c r="C52" s="471"/>
      <c r="D52" s="472"/>
      <c r="E52" s="473"/>
      <c r="F52" s="473"/>
      <c r="G52" s="473"/>
      <c r="H52" s="473"/>
      <c r="I52" s="473"/>
      <c r="J52" s="473"/>
      <c r="K52" s="473"/>
      <c r="L52" s="473"/>
      <c r="M52" s="473"/>
      <c r="N52" s="473"/>
      <c r="O52" s="473"/>
      <c r="P52" s="473"/>
      <c r="Q52" s="473"/>
      <c r="R52" s="473"/>
      <c r="S52" s="473"/>
      <c r="T52" s="473"/>
      <c r="U52" s="474"/>
      <c r="V52" s="449"/>
    </row>
    <row r="53" spans="2:28">
      <c r="B53" s="467" t="s">
        <v>870</v>
      </c>
      <c r="C53" s="471"/>
      <c r="D53" s="514">
        <v>0</v>
      </c>
      <c r="E53" s="515">
        <v>0</v>
      </c>
      <c r="F53" s="515">
        <v>0</v>
      </c>
      <c r="G53" s="515">
        <v>0</v>
      </c>
      <c r="H53" s="515">
        <v>0</v>
      </c>
      <c r="I53" s="515">
        <v>0</v>
      </c>
      <c r="J53" s="515">
        <v>0</v>
      </c>
      <c r="K53" s="515">
        <v>0</v>
      </c>
      <c r="L53" s="515">
        <v>0</v>
      </c>
      <c r="M53" s="515">
        <v>0</v>
      </c>
      <c r="N53" s="515">
        <v>0</v>
      </c>
      <c r="O53" s="515">
        <v>0</v>
      </c>
      <c r="P53" s="515">
        <v>0</v>
      </c>
      <c r="Q53" s="515">
        <v>0</v>
      </c>
      <c r="R53" s="515">
        <v>0</v>
      </c>
      <c r="S53" s="515">
        <v>0</v>
      </c>
      <c r="T53" s="515">
        <v>0</v>
      </c>
      <c r="U53" s="516">
        <v>0</v>
      </c>
      <c r="V53" s="449"/>
    </row>
    <row r="54" spans="2:28">
      <c r="B54" s="467"/>
      <c r="C54" s="471"/>
      <c r="D54" s="472"/>
      <c r="E54" s="473"/>
      <c r="F54" s="473"/>
      <c r="G54" s="473"/>
      <c r="H54" s="473"/>
      <c r="I54" s="473"/>
      <c r="J54" s="473"/>
      <c r="K54" s="473"/>
      <c r="L54" s="473"/>
      <c r="M54" s="473"/>
      <c r="N54" s="473"/>
      <c r="O54" s="473"/>
      <c r="P54" s="473"/>
      <c r="Q54" s="473"/>
      <c r="R54" s="473"/>
      <c r="S54" s="473"/>
      <c r="T54" s="473"/>
      <c r="U54" s="474"/>
      <c r="V54" s="449"/>
    </row>
    <row r="55" spans="2:28">
      <c r="B55" s="467" t="s">
        <v>1303</v>
      </c>
      <c r="C55" s="471"/>
      <c r="D55" s="472" t="e">
        <f>+D53+D49</f>
        <v>#DIV/0!</v>
      </c>
      <c r="E55" s="473" t="str">
        <f t="shared" ref="E55:U55" si="21">IF(E1=1,+E49+E53,"")</f>
        <v/>
      </c>
      <c r="F55" s="473" t="str">
        <f t="shared" si="21"/>
        <v/>
      </c>
      <c r="G55" s="473" t="str">
        <f t="shared" si="21"/>
        <v/>
      </c>
      <c r="H55" s="473" t="str">
        <f t="shared" si="21"/>
        <v/>
      </c>
      <c r="I55" s="473" t="str">
        <f t="shared" si="21"/>
        <v/>
      </c>
      <c r="J55" s="473" t="str">
        <f t="shared" si="21"/>
        <v/>
      </c>
      <c r="K55" s="473" t="str">
        <f t="shared" si="21"/>
        <v/>
      </c>
      <c r="L55" s="473" t="str">
        <f t="shared" si="21"/>
        <v/>
      </c>
      <c r="M55" s="473" t="str">
        <f t="shared" si="21"/>
        <v/>
      </c>
      <c r="N55" s="473" t="str">
        <f t="shared" si="21"/>
        <v/>
      </c>
      <c r="O55" s="473" t="str">
        <f t="shared" si="21"/>
        <v/>
      </c>
      <c r="P55" s="473" t="str">
        <f t="shared" si="21"/>
        <v/>
      </c>
      <c r="Q55" s="473" t="str">
        <f t="shared" si="21"/>
        <v/>
      </c>
      <c r="R55" s="473" t="str">
        <f t="shared" si="21"/>
        <v/>
      </c>
      <c r="S55" s="473" t="str">
        <f t="shared" si="21"/>
        <v/>
      </c>
      <c r="T55" s="473" t="str">
        <f t="shared" si="21"/>
        <v/>
      </c>
      <c r="U55" s="474" t="str">
        <f t="shared" si="21"/>
        <v/>
      </c>
      <c r="V55" s="449"/>
    </row>
    <row r="56" spans="2:28">
      <c r="B56" s="481" t="s">
        <v>1304</v>
      </c>
      <c r="C56" s="482"/>
      <c r="D56" s="483" t="e">
        <f>+D53+D50</f>
        <v>#DIV/0!</v>
      </c>
      <c r="E56" s="484" t="str">
        <f>IF(E1=1,+E50+E53,"")</f>
        <v/>
      </c>
      <c r="F56" s="484" t="str">
        <f t="shared" ref="F56:U56" si="22">IF(F1=1,+F50+F53,"")</f>
        <v/>
      </c>
      <c r="G56" s="484" t="str">
        <f t="shared" si="22"/>
        <v/>
      </c>
      <c r="H56" s="484" t="str">
        <f t="shared" si="22"/>
        <v/>
      </c>
      <c r="I56" s="484" t="str">
        <f t="shared" si="22"/>
        <v/>
      </c>
      <c r="J56" s="484" t="str">
        <f t="shared" si="22"/>
        <v/>
      </c>
      <c r="K56" s="484" t="str">
        <f t="shared" si="22"/>
        <v/>
      </c>
      <c r="L56" s="484" t="str">
        <f t="shared" si="22"/>
        <v/>
      </c>
      <c r="M56" s="484" t="str">
        <f t="shared" si="22"/>
        <v/>
      </c>
      <c r="N56" s="484" t="str">
        <f t="shared" si="22"/>
        <v/>
      </c>
      <c r="O56" s="484" t="str">
        <f t="shared" si="22"/>
        <v/>
      </c>
      <c r="P56" s="484" t="str">
        <f t="shared" si="22"/>
        <v/>
      </c>
      <c r="Q56" s="484" t="str">
        <f t="shared" si="22"/>
        <v/>
      </c>
      <c r="R56" s="484" t="str">
        <f t="shared" si="22"/>
        <v/>
      </c>
      <c r="S56" s="484" t="str">
        <f t="shared" si="22"/>
        <v/>
      </c>
      <c r="T56" s="484" t="str">
        <f t="shared" si="22"/>
        <v/>
      </c>
      <c r="U56" s="536" t="str">
        <f t="shared" si="22"/>
        <v/>
      </c>
      <c r="V56" s="534"/>
      <c r="W56" s="275"/>
      <c r="X56" s="275"/>
      <c r="Y56" s="275"/>
      <c r="Z56" s="275"/>
      <c r="AA56" s="275"/>
      <c r="AB56" s="275"/>
    </row>
    <row r="57" spans="2:28">
      <c r="B57" s="467" t="s">
        <v>1038</v>
      </c>
      <c r="C57" s="471" t="e">
        <f>SUM(D57:U57)</f>
        <v>#DIV/0!</v>
      </c>
      <c r="D57" s="472" t="e">
        <f>+(D55+D56)*D$5</f>
        <v>#DIV/0!</v>
      </c>
      <c r="E57" s="473" t="str">
        <f>IF(E1=1,(E55+E56)*E$5,"")</f>
        <v/>
      </c>
      <c r="F57" s="473" t="str">
        <f t="shared" ref="F57:U57" si="23">IF(F1=1,(F55+F56)*F$5,"")</f>
        <v/>
      </c>
      <c r="G57" s="473" t="str">
        <f t="shared" si="23"/>
        <v/>
      </c>
      <c r="H57" s="473" t="str">
        <f t="shared" si="23"/>
        <v/>
      </c>
      <c r="I57" s="473" t="str">
        <f t="shared" si="23"/>
        <v/>
      </c>
      <c r="J57" s="473" t="str">
        <f t="shared" si="23"/>
        <v/>
      </c>
      <c r="K57" s="473" t="str">
        <f t="shared" si="23"/>
        <v/>
      </c>
      <c r="L57" s="473" t="str">
        <f t="shared" si="23"/>
        <v/>
      </c>
      <c r="M57" s="473" t="str">
        <f t="shared" si="23"/>
        <v/>
      </c>
      <c r="N57" s="473" t="str">
        <f t="shared" si="23"/>
        <v/>
      </c>
      <c r="O57" s="473" t="str">
        <f t="shared" si="23"/>
        <v/>
      </c>
      <c r="P57" s="473" t="str">
        <f t="shared" si="23"/>
        <v/>
      </c>
      <c r="Q57" s="473" t="str">
        <f t="shared" si="23"/>
        <v/>
      </c>
      <c r="R57" s="473" t="str">
        <f t="shared" si="23"/>
        <v/>
      </c>
      <c r="S57" s="473" t="str">
        <f t="shared" si="23"/>
        <v/>
      </c>
      <c r="T57" s="473" t="str">
        <f t="shared" si="23"/>
        <v/>
      </c>
      <c r="U57" s="473" t="str">
        <f t="shared" si="23"/>
        <v/>
      </c>
      <c r="V57" s="449"/>
    </row>
    <row r="58" spans="2:28">
      <c r="B58" s="467"/>
      <c r="C58" s="471"/>
      <c r="D58" s="472"/>
      <c r="E58" s="473"/>
      <c r="F58" s="473"/>
      <c r="G58" s="473"/>
      <c r="H58" s="473"/>
      <c r="I58" s="473"/>
      <c r="J58" s="473"/>
      <c r="K58" s="473"/>
      <c r="L58" s="473"/>
      <c r="M58" s="473"/>
      <c r="N58" s="473"/>
      <c r="O58" s="473"/>
      <c r="P58" s="473"/>
      <c r="Q58" s="473"/>
      <c r="R58" s="473"/>
      <c r="S58" s="473"/>
      <c r="T58" s="473"/>
      <c r="U58" s="474"/>
      <c r="V58" s="449"/>
    </row>
    <row r="59" spans="2:28">
      <c r="B59" s="467" t="s">
        <v>1307</v>
      </c>
      <c r="C59" s="855">
        <v>0.09</v>
      </c>
      <c r="D59" s="472"/>
      <c r="E59" s="473"/>
      <c r="F59" s="473"/>
      <c r="G59" s="473"/>
      <c r="H59" s="473"/>
      <c r="I59" s="473"/>
      <c r="J59" s="473"/>
      <c r="K59" s="473"/>
      <c r="L59" s="473"/>
      <c r="M59" s="473"/>
      <c r="N59" s="473"/>
      <c r="O59" s="473"/>
      <c r="P59" s="473"/>
      <c r="Q59" s="473"/>
      <c r="R59" s="473"/>
      <c r="S59" s="473"/>
      <c r="T59" s="473"/>
      <c r="U59" s="474"/>
      <c r="V59" s="449"/>
    </row>
    <row r="60" spans="2:28">
      <c r="B60" s="481" t="s">
        <v>205</v>
      </c>
      <c r="C60" s="856">
        <v>0.04</v>
      </c>
      <c r="D60" s="472"/>
      <c r="E60" s="473"/>
      <c r="F60" s="473"/>
      <c r="G60" s="473"/>
      <c r="H60" s="473"/>
      <c r="I60" s="473"/>
      <c r="J60" s="473"/>
      <c r="K60" s="473"/>
      <c r="L60" s="473"/>
      <c r="M60" s="473"/>
      <c r="N60" s="473"/>
      <c r="O60" s="473"/>
      <c r="P60" s="473"/>
      <c r="Q60" s="473"/>
      <c r="R60" s="473"/>
      <c r="S60" s="473"/>
      <c r="T60" s="473"/>
      <c r="U60" s="474"/>
      <c r="V60" s="449"/>
    </row>
    <row r="61" spans="2:28">
      <c r="B61" s="467"/>
      <c r="C61" s="488"/>
      <c r="D61" s="472"/>
      <c r="E61" s="473"/>
      <c r="F61" s="473"/>
      <c r="G61" s="473"/>
      <c r="H61" s="473"/>
      <c r="I61" s="473"/>
      <c r="J61" s="473"/>
      <c r="K61" s="473"/>
      <c r="L61" s="473"/>
      <c r="M61" s="473"/>
      <c r="N61" s="473"/>
      <c r="O61" s="473"/>
      <c r="P61" s="473"/>
      <c r="Q61" s="473"/>
      <c r="R61" s="473"/>
      <c r="S61" s="473"/>
      <c r="T61" s="473"/>
      <c r="U61" s="474"/>
      <c r="V61" s="449"/>
    </row>
    <row r="62" spans="2:28">
      <c r="B62" s="489"/>
      <c r="C62" s="490"/>
      <c r="D62" s="491"/>
      <c r="E62" s="492"/>
      <c r="F62" s="492"/>
      <c r="G62" s="492"/>
      <c r="H62" s="492"/>
      <c r="I62" s="492"/>
      <c r="J62" s="492"/>
      <c r="K62" s="492"/>
      <c r="L62" s="492"/>
      <c r="M62" s="492"/>
      <c r="N62" s="492"/>
      <c r="O62" s="492"/>
      <c r="P62" s="492"/>
      <c r="Q62" s="492"/>
      <c r="R62" s="492"/>
      <c r="S62" s="492"/>
      <c r="T62" s="492"/>
      <c r="U62" s="493"/>
      <c r="V62" s="449"/>
    </row>
    <row r="63" spans="2:28">
      <c r="B63" s="494" t="s">
        <v>1302</v>
      </c>
      <c r="C63" s="471"/>
      <c r="D63" s="495" t="e">
        <f>+D55*$C$59</f>
        <v>#DIV/0!</v>
      </c>
      <c r="E63" s="496" t="str">
        <f t="shared" ref="E63:U63" si="24">IF(E1=1,+E55*$C$59,"")</f>
        <v/>
      </c>
      <c r="F63" s="496" t="str">
        <f t="shared" si="24"/>
        <v/>
      </c>
      <c r="G63" s="496" t="str">
        <f t="shared" si="24"/>
        <v/>
      </c>
      <c r="H63" s="496" t="str">
        <f t="shared" si="24"/>
        <v/>
      </c>
      <c r="I63" s="496" t="str">
        <f t="shared" si="24"/>
        <v/>
      </c>
      <c r="J63" s="496" t="str">
        <f t="shared" si="24"/>
        <v/>
      </c>
      <c r="K63" s="496" t="str">
        <f t="shared" si="24"/>
        <v/>
      </c>
      <c r="L63" s="496" t="str">
        <f t="shared" si="24"/>
        <v/>
      </c>
      <c r="M63" s="496" t="str">
        <f t="shared" si="24"/>
        <v/>
      </c>
      <c r="N63" s="496" t="str">
        <f t="shared" si="24"/>
        <v/>
      </c>
      <c r="O63" s="496" t="str">
        <f t="shared" si="24"/>
        <v/>
      </c>
      <c r="P63" s="496" t="str">
        <f t="shared" si="24"/>
        <v/>
      </c>
      <c r="Q63" s="496" t="str">
        <f t="shared" si="24"/>
        <v/>
      </c>
      <c r="R63" s="496" t="str">
        <f t="shared" si="24"/>
        <v/>
      </c>
      <c r="S63" s="496" t="str">
        <f t="shared" si="24"/>
        <v/>
      </c>
      <c r="T63" s="496" t="str">
        <f t="shared" si="24"/>
        <v/>
      </c>
      <c r="U63" s="537" t="str">
        <f t="shared" si="24"/>
        <v/>
      </c>
      <c r="V63" s="449"/>
    </row>
    <row r="64" spans="2:28">
      <c r="B64" s="497" t="s">
        <v>206</v>
      </c>
      <c r="C64" s="471"/>
      <c r="D64" s="498" t="e">
        <f>+D56*$C$60</f>
        <v>#DIV/0!</v>
      </c>
      <c r="E64" s="499" t="str">
        <f>IF(E1=1,+E56*$C$60,"")</f>
        <v/>
      </c>
      <c r="F64" s="499" t="str">
        <f t="shared" ref="F64:U64" si="25">IF(F1=1,+F56*$C$60,"")</f>
        <v/>
      </c>
      <c r="G64" s="499" t="str">
        <f t="shared" si="25"/>
        <v/>
      </c>
      <c r="H64" s="499" t="str">
        <f t="shared" si="25"/>
        <v/>
      </c>
      <c r="I64" s="499" t="str">
        <f t="shared" si="25"/>
        <v/>
      </c>
      <c r="J64" s="499" t="str">
        <f t="shared" si="25"/>
        <v/>
      </c>
      <c r="K64" s="499" t="str">
        <f t="shared" si="25"/>
        <v/>
      </c>
      <c r="L64" s="499" t="str">
        <f t="shared" si="25"/>
        <v/>
      </c>
      <c r="M64" s="499" t="str">
        <f t="shared" si="25"/>
        <v/>
      </c>
      <c r="N64" s="499" t="str">
        <f t="shared" si="25"/>
        <v/>
      </c>
      <c r="O64" s="499" t="str">
        <f t="shared" si="25"/>
        <v/>
      </c>
      <c r="P64" s="499" t="str">
        <f t="shared" si="25"/>
        <v/>
      </c>
      <c r="Q64" s="499" t="str">
        <f t="shared" si="25"/>
        <v/>
      </c>
      <c r="R64" s="499" t="str">
        <f t="shared" si="25"/>
        <v/>
      </c>
      <c r="S64" s="499" t="str">
        <f t="shared" si="25"/>
        <v/>
      </c>
      <c r="T64" s="499" t="str">
        <f t="shared" si="25"/>
        <v/>
      </c>
      <c r="U64" s="538" t="str">
        <f t="shared" si="25"/>
        <v/>
      </c>
      <c r="V64" s="449"/>
    </row>
    <row r="65" spans="1:22">
      <c r="B65" s="494" t="s">
        <v>1986</v>
      </c>
      <c r="C65" s="471"/>
      <c r="D65" s="495" t="e">
        <f>+D64+D63</f>
        <v>#DIV/0!</v>
      </c>
      <c r="E65" s="496" t="str">
        <f>IF(E1=1,+E63+E64,"")</f>
        <v/>
      </c>
      <c r="F65" s="496" t="str">
        <f t="shared" ref="F65:U65" si="26">IF(F1=1,+F63+F64,"")</f>
        <v/>
      </c>
      <c r="G65" s="496" t="str">
        <f t="shared" si="26"/>
        <v/>
      </c>
      <c r="H65" s="496" t="str">
        <f t="shared" si="26"/>
        <v/>
      </c>
      <c r="I65" s="496" t="str">
        <f t="shared" si="26"/>
        <v/>
      </c>
      <c r="J65" s="496" t="str">
        <f t="shared" si="26"/>
        <v/>
      </c>
      <c r="K65" s="496" t="str">
        <f t="shared" si="26"/>
        <v/>
      </c>
      <c r="L65" s="496" t="str">
        <f t="shared" si="26"/>
        <v/>
      </c>
      <c r="M65" s="496" t="str">
        <f t="shared" si="26"/>
        <v/>
      </c>
      <c r="N65" s="496" t="str">
        <f t="shared" si="26"/>
        <v/>
      </c>
      <c r="O65" s="496" t="str">
        <f t="shared" si="26"/>
        <v/>
      </c>
      <c r="P65" s="496" t="str">
        <f t="shared" si="26"/>
        <v/>
      </c>
      <c r="Q65" s="496" t="str">
        <f t="shared" si="26"/>
        <v/>
      </c>
      <c r="R65" s="496" t="str">
        <f t="shared" si="26"/>
        <v/>
      </c>
      <c r="S65" s="496" t="str">
        <f t="shared" si="26"/>
        <v/>
      </c>
      <c r="T65" s="496" t="str">
        <f t="shared" si="26"/>
        <v/>
      </c>
      <c r="U65" s="537" t="str">
        <f t="shared" si="26"/>
        <v/>
      </c>
      <c r="V65" s="449"/>
    </row>
    <row r="66" spans="1:22">
      <c r="B66" s="494"/>
      <c r="C66" s="471"/>
      <c r="D66" s="495"/>
      <c r="E66" s="496"/>
      <c r="F66" s="496"/>
      <c r="G66" s="496"/>
      <c r="H66" s="496"/>
      <c r="I66" s="496"/>
      <c r="J66" s="496"/>
      <c r="K66" s="496"/>
      <c r="L66" s="496"/>
      <c r="M66" s="496"/>
      <c r="N66" s="496"/>
      <c r="O66" s="496"/>
      <c r="P66" s="496"/>
      <c r="Q66" s="496"/>
      <c r="R66" s="496"/>
      <c r="S66" s="496"/>
      <c r="T66" s="496"/>
      <c r="U66" s="537"/>
      <c r="V66" s="449"/>
    </row>
    <row r="67" spans="1:22">
      <c r="B67" s="467" t="s">
        <v>869</v>
      </c>
      <c r="C67" s="471" t="e">
        <f>SUM(D67:U67)</f>
        <v>#DIV/0!</v>
      </c>
      <c r="D67" s="472" t="e">
        <f>+D65*D$5</f>
        <v>#DIV/0!</v>
      </c>
      <c r="E67" s="473" t="str">
        <f>IF(E1=1,+E65*E$5,"")</f>
        <v/>
      </c>
      <c r="F67" s="473" t="str">
        <f t="shared" ref="F67:U67" si="27">IF(F1=1,+F65*F$5,"")</f>
        <v/>
      </c>
      <c r="G67" s="473" t="str">
        <f t="shared" si="27"/>
        <v/>
      </c>
      <c r="H67" s="473" t="str">
        <f t="shared" si="27"/>
        <v/>
      </c>
      <c r="I67" s="473" t="str">
        <f t="shared" si="27"/>
        <v/>
      </c>
      <c r="J67" s="473" t="str">
        <f t="shared" si="27"/>
        <v/>
      </c>
      <c r="K67" s="473" t="str">
        <f t="shared" si="27"/>
        <v/>
      </c>
      <c r="L67" s="473" t="str">
        <f t="shared" si="27"/>
        <v/>
      </c>
      <c r="M67" s="473" t="str">
        <f t="shared" si="27"/>
        <v/>
      </c>
      <c r="N67" s="473" t="str">
        <f t="shared" si="27"/>
        <v/>
      </c>
      <c r="O67" s="473" t="str">
        <f t="shared" si="27"/>
        <v/>
      </c>
      <c r="P67" s="473" t="str">
        <f t="shared" si="27"/>
        <v/>
      </c>
      <c r="Q67" s="473" t="str">
        <f t="shared" si="27"/>
        <v/>
      </c>
      <c r="R67" s="473" t="str">
        <f t="shared" si="27"/>
        <v/>
      </c>
      <c r="S67" s="473" t="str">
        <f t="shared" si="27"/>
        <v/>
      </c>
      <c r="T67" s="473" t="str">
        <f t="shared" si="27"/>
        <v/>
      </c>
      <c r="U67" s="473" t="str">
        <f t="shared" si="27"/>
        <v/>
      </c>
      <c r="V67" s="449"/>
    </row>
    <row r="68" spans="1:22" ht="14" thickBot="1">
      <c r="B68" s="500"/>
      <c r="C68" s="501"/>
      <c r="D68" s="502"/>
      <c r="E68" s="503"/>
      <c r="F68" s="503"/>
      <c r="G68" s="503"/>
      <c r="H68" s="503"/>
      <c r="I68" s="503"/>
      <c r="J68" s="503"/>
      <c r="K68" s="503"/>
      <c r="L68" s="503"/>
      <c r="M68" s="503"/>
      <c r="N68" s="503"/>
      <c r="O68" s="503"/>
      <c r="P68" s="503"/>
      <c r="Q68" s="503"/>
      <c r="R68" s="503"/>
      <c r="S68" s="503"/>
      <c r="T68" s="503"/>
      <c r="U68" s="504"/>
      <c r="V68" s="449"/>
    </row>
    <row r="69" spans="1:22" ht="14" thickTop="1">
      <c r="B69" s="879">
        <f>+Name</f>
        <v>0</v>
      </c>
      <c r="C69" s="505"/>
      <c r="D69" s="469"/>
      <c r="E69" s="469"/>
      <c r="F69" s="469"/>
      <c r="G69" s="469"/>
      <c r="H69" s="469"/>
      <c r="I69" s="469"/>
      <c r="J69" s="469"/>
      <c r="K69" s="469"/>
      <c r="L69" s="469"/>
      <c r="M69" s="469"/>
      <c r="N69" s="469"/>
      <c r="O69" s="469"/>
      <c r="P69" s="469"/>
      <c r="Q69" s="469"/>
      <c r="R69" s="469"/>
      <c r="S69" s="469"/>
      <c r="T69" s="469"/>
      <c r="U69" s="469"/>
      <c r="V69" s="506"/>
    </row>
    <row r="70" spans="1:22">
      <c r="C70" s="505"/>
      <c r="D70" s="469"/>
      <c r="E70" s="469"/>
      <c r="F70" s="469"/>
      <c r="G70" s="469"/>
      <c r="H70" s="469"/>
      <c r="I70" s="469"/>
      <c r="J70" s="469"/>
      <c r="K70" s="469"/>
      <c r="L70" s="469"/>
      <c r="M70" s="469"/>
      <c r="N70" s="469"/>
      <c r="O70" s="469"/>
      <c r="P70" s="469"/>
      <c r="Q70" s="469"/>
      <c r="R70" s="469"/>
      <c r="S70" s="469"/>
      <c r="T70" s="469"/>
      <c r="U70" s="469"/>
      <c r="V70" s="506"/>
    </row>
    <row r="71" spans="1:22">
      <c r="A71" s="341" t="s">
        <v>1024</v>
      </c>
      <c r="B71" s="342" t="s">
        <v>1358</v>
      </c>
      <c r="C71" s="344"/>
      <c r="D71" s="342"/>
      <c r="E71" s="342"/>
      <c r="F71" s="507"/>
      <c r="G71" s="507"/>
      <c r="H71" s="507"/>
      <c r="I71" s="507"/>
      <c r="J71" s="507"/>
    </row>
    <row r="72" spans="1:22">
      <c r="A72" s="342"/>
      <c r="B72" s="342" t="s">
        <v>1028</v>
      </c>
      <c r="C72" s="344"/>
      <c r="D72" s="342"/>
      <c r="E72" s="342"/>
      <c r="F72" s="507"/>
      <c r="G72" s="507"/>
      <c r="H72" s="507"/>
      <c r="I72" s="507"/>
      <c r="J72" s="507"/>
    </row>
    <row r="73" spans="1:22">
      <c r="A73" s="343" t="s">
        <v>871</v>
      </c>
      <c r="B73" s="342" t="s">
        <v>1976</v>
      </c>
      <c r="C73" s="344"/>
      <c r="D73" s="342"/>
      <c r="E73" s="342"/>
      <c r="F73" s="507"/>
      <c r="G73" s="507"/>
      <c r="H73" s="507"/>
      <c r="I73" s="507"/>
      <c r="J73" s="507"/>
      <c r="T73" s="374" t="e">
        <f>Cover!$H$6</f>
        <v>#N/A</v>
      </c>
    </row>
    <row r="74" spans="1:22">
      <c r="A74" s="343" t="s">
        <v>872</v>
      </c>
      <c r="B74" s="342" t="s">
        <v>873</v>
      </c>
      <c r="C74" s="344"/>
      <c r="D74" s="342"/>
      <c r="E74" s="342"/>
      <c r="F74" s="507"/>
      <c r="G74" s="507"/>
      <c r="H74" s="507"/>
      <c r="I74" s="507"/>
      <c r="J74" s="507"/>
    </row>
    <row r="75" spans="1:22">
      <c r="A75" s="343" t="s">
        <v>874</v>
      </c>
      <c r="B75" s="342" t="s">
        <v>1026</v>
      </c>
      <c r="C75" s="344"/>
      <c r="D75" s="342"/>
      <c r="E75" s="342"/>
      <c r="F75" s="507"/>
      <c r="G75" s="507"/>
      <c r="H75" s="507"/>
      <c r="I75" s="507"/>
      <c r="J75" s="507"/>
    </row>
    <row r="76" spans="1:22">
      <c r="A76" s="343" t="s">
        <v>875</v>
      </c>
      <c r="B76" s="342" t="s">
        <v>876</v>
      </c>
      <c r="C76" s="344"/>
      <c r="D76" s="342"/>
      <c r="E76" s="342"/>
      <c r="F76" s="507"/>
      <c r="G76" s="507"/>
      <c r="H76" s="507"/>
      <c r="I76" s="507"/>
      <c r="J76" s="507"/>
    </row>
    <row r="77" spans="1:22">
      <c r="A77" s="343" t="s">
        <v>1023</v>
      </c>
      <c r="B77" s="342" t="s">
        <v>1027</v>
      </c>
      <c r="C77" s="344"/>
      <c r="D77" s="342"/>
      <c r="E77" s="342"/>
      <c r="F77" s="507"/>
      <c r="G77" s="507"/>
      <c r="H77" s="507"/>
      <c r="I77" s="507"/>
      <c r="J77" s="507"/>
    </row>
    <row r="78" spans="1:22">
      <c r="A78" s="342"/>
      <c r="B78" s="342"/>
      <c r="C78" s="344"/>
      <c r="D78" s="342"/>
      <c r="E78" s="342"/>
      <c r="F78" s="507"/>
      <c r="G78" s="507"/>
      <c r="H78" s="507"/>
      <c r="I78" s="507"/>
      <c r="J78" s="507"/>
    </row>
    <row r="79" spans="1:22">
      <c r="A79" s="341" t="s">
        <v>1025</v>
      </c>
      <c r="B79" s="342" t="s">
        <v>1305</v>
      </c>
      <c r="C79" s="344"/>
      <c r="D79" s="342"/>
      <c r="E79" s="342"/>
      <c r="F79" s="507"/>
      <c r="G79" s="507"/>
      <c r="H79" s="507"/>
      <c r="I79" s="507"/>
      <c r="J79" s="507"/>
    </row>
    <row r="80" spans="1:22">
      <c r="A80" s="342"/>
      <c r="B80" s="509" t="s">
        <v>1359</v>
      </c>
      <c r="C80" s="344"/>
      <c r="D80" s="342"/>
      <c r="E80" s="342"/>
      <c r="F80" s="507"/>
      <c r="G80" s="507"/>
      <c r="H80" s="507"/>
      <c r="I80" s="507"/>
      <c r="J80" s="507"/>
    </row>
    <row r="81" spans="1:10">
      <c r="A81" s="507"/>
      <c r="B81" s="507"/>
      <c r="C81" s="510"/>
      <c r="D81" s="507"/>
      <c r="E81" s="507"/>
      <c r="F81" s="507"/>
      <c r="G81" s="507"/>
      <c r="H81" s="507"/>
      <c r="I81" s="507"/>
      <c r="J81" s="507"/>
    </row>
  </sheetData>
  <sheetProtection password="CCBC" sheet="1" objects="1" scenarios="1"/>
  <phoneticPr fontId="0" type="noConversion"/>
  <printOptions horizontalCentered="1" verticalCentered="1"/>
  <pageMargins left="0.75" right="0.75" top="1" bottom="1" header="0.5" footer="0.5"/>
  <pageSetup scale="5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I54"/>
  <sheetViews>
    <sheetView zoomScaleNormal="100" workbookViewId="0">
      <selection activeCell="L5" sqref="L5"/>
    </sheetView>
  </sheetViews>
  <sheetFormatPr baseColWidth="10" defaultColWidth="9.1640625" defaultRowHeight="13"/>
  <cols>
    <col min="1" max="2" width="3.6640625" style="190" customWidth="1"/>
    <col min="3" max="6" width="9.1640625" style="190"/>
    <col min="7" max="7" width="18.33203125" style="190" customWidth="1"/>
    <col min="8" max="8" width="16.6640625" style="190" customWidth="1"/>
    <col min="9" max="9" width="3.83203125" style="190" customWidth="1"/>
    <col min="10" max="16384" width="9.1640625" style="190"/>
  </cols>
  <sheetData>
    <row r="1" spans="1:8" ht="14" thickBot="1">
      <c r="A1" s="381" t="s">
        <v>1005</v>
      </c>
      <c r="G1" s="879">
        <f>+Name</f>
        <v>0</v>
      </c>
      <c r="H1" s="374" t="e">
        <f>Cover!$H$6</f>
        <v>#N/A</v>
      </c>
    </row>
    <row r="2" spans="1:8" ht="15" thickTop="1" thickBot="1">
      <c r="B2" s="1533" t="s">
        <v>1658</v>
      </c>
      <c r="C2" s="1534"/>
      <c r="D2" s="1534"/>
      <c r="E2" s="1534"/>
      <c r="F2" s="1534"/>
      <c r="G2" s="1534"/>
      <c r="H2" s="1535"/>
    </row>
    <row r="3" spans="1:8" ht="17" thickTop="1">
      <c r="C3" s="377"/>
      <c r="H3" s="375" t="s">
        <v>1501</v>
      </c>
    </row>
    <row r="4" spans="1:8" ht="16">
      <c r="C4" s="522" t="s">
        <v>680</v>
      </c>
      <c r="D4" s="376"/>
      <c r="E4" s="376"/>
      <c r="H4" s="375" t="s">
        <v>682</v>
      </c>
    </row>
    <row r="5" spans="1:8" ht="16">
      <c r="B5" s="346" t="s">
        <v>303</v>
      </c>
      <c r="C5" s="346" t="s">
        <v>1916</v>
      </c>
    </row>
    <row r="6" spans="1:8" ht="16">
      <c r="C6" s="377"/>
      <c r="D6" s="377" t="s">
        <v>1917</v>
      </c>
      <c r="H6" s="379"/>
    </row>
    <row r="7" spans="1:8" ht="16">
      <c r="C7" s="377"/>
      <c r="D7" s="377" t="s">
        <v>1918</v>
      </c>
      <c r="H7" s="380"/>
    </row>
    <row r="8" spans="1:8" ht="16">
      <c r="C8" s="377"/>
      <c r="D8" s="377" t="s">
        <v>1919</v>
      </c>
      <c r="H8" s="380"/>
    </row>
    <row r="9" spans="1:8" ht="16">
      <c r="C9" s="377"/>
      <c r="D9" s="377" t="s">
        <v>1920</v>
      </c>
      <c r="H9" s="380"/>
    </row>
    <row r="10" spans="1:8" ht="16">
      <c r="C10" s="377"/>
      <c r="D10" s="377" t="s">
        <v>1378</v>
      </c>
      <c r="H10" s="380"/>
    </row>
    <row r="11" spans="1:8" ht="16">
      <c r="C11" s="377"/>
      <c r="H11" s="523"/>
    </row>
    <row r="12" spans="1:8" ht="16">
      <c r="B12" s="346" t="s">
        <v>304</v>
      </c>
      <c r="C12" s="346" t="s">
        <v>1921</v>
      </c>
      <c r="H12" s="523"/>
    </row>
    <row r="13" spans="1:8" ht="16">
      <c r="B13" s="378" t="s">
        <v>1922</v>
      </c>
      <c r="C13" s="377" t="s">
        <v>1923</v>
      </c>
      <c r="H13" s="523"/>
    </row>
    <row r="14" spans="1:8" ht="16">
      <c r="C14" s="377"/>
      <c r="D14" s="377" t="s">
        <v>1924</v>
      </c>
      <c r="H14" s="379"/>
    </row>
    <row r="15" spans="1:8" ht="16">
      <c r="C15" s="377"/>
      <c r="D15" s="377" t="s">
        <v>1925</v>
      </c>
      <c r="H15" s="380"/>
    </row>
    <row r="16" spans="1:8" ht="16">
      <c r="C16" s="377"/>
      <c r="D16" s="377" t="s">
        <v>341</v>
      </c>
      <c r="H16" s="380"/>
    </row>
    <row r="17" spans="2:8" ht="16">
      <c r="C17" s="377"/>
      <c r="D17" s="377"/>
      <c r="H17" s="523"/>
    </row>
    <row r="18" spans="2:8" ht="16">
      <c r="B18" s="378" t="s">
        <v>342</v>
      </c>
      <c r="C18" s="377" t="s">
        <v>343</v>
      </c>
      <c r="D18" s="377"/>
      <c r="H18" s="523"/>
    </row>
    <row r="19" spans="2:8" ht="16">
      <c r="C19" s="377"/>
      <c r="D19" s="377" t="s">
        <v>1924</v>
      </c>
      <c r="H19" s="379"/>
    </row>
    <row r="20" spans="2:8" ht="16">
      <c r="C20" s="377"/>
      <c r="D20" s="377" t="s">
        <v>1925</v>
      </c>
      <c r="H20" s="380"/>
    </row>
    <row r="21" spans="2:8" ht="16">
      <c r="C21" s="377"/>
      <c r="D21" s="377" t="s">
        <v>341</v>
      </c>
      <c r="H21" s="380"/>
    </row>
    <row r="22" spans="2:8" ht="16">
      <c r="C22" s="377"/>
      <c r="D22" s="377"/>
      <c r="H22" s="523"/>
    </row>
    <row r="23" spans="2:8" ht="16">
      <c r="B23" s="378" t="s">
        <v>344</v>
      </c>
      <c r="C23" s="377" t="s">
        <v>345</v>
      </c>
      <c r="D23" s="377"/>
      <c r="H23" s="523"/>
    </row>
    <row r="24" spans="2:8" ht="16">
      <c r="C24" s="377"/>
      <c r="D24" s="377" t="s">
        <v>346</v>
      </c>
      <c r="H24" s="379"/>
    </row>
    <row r="25" spans="2:8" ht="16">
      <c r="C25" s="377"/>
      <c r="D25" s="377" t="s">
        <v>347</v>
      </c>
      <c r="H25" s="380"/>
    </row>
    <row r="26" spans="2:8" ht="16">
      <c r="C26" s="377"/>
      <c r="D26" s="377" t="s">
        <v>348</v>
      </c>
      <c r="H26" s="380"/>
    </row>
    <row r="27" spans="2:8" ht="16">
      <c r="C27" s="377"/>
      <c r="D27" s="377"/>
      <c r="H27" s="523"/>
    </row>
    <row r="28" spans="2:8" ht="16">
      <c r="B28" s="378" t="s">
        <v>349</v>
      </c>
      <c r="C28" s="377" t="s">
        <v>345</v>
      </c>
      <c r="D28" s="377"/>
      <c r="H28" s="523"/>
    </row>
    <row r="29" spans="2:8" ht="16">
      <c r="C29" s="377"/>
      <c r="D29" s="377" t="s">
        <v>346</v>
      </c>
      <c r="H29" s="379"/>
    </row>
    <row r="30" spans="2:8" ht="16">
      <c r="C30" s="377"/>
      <c r="D30" s="377" t="s">
        <v>347</v>
      </c>
      <c r="H30" s="380"/>
    </row>
    <row r="31" spans="2:8" ht="16">
      <c r="C31" s="377"/>
      <c r="D31" s="377" t="s">
        <v>348</v>
      </c>
      <c r="H31" s="380"/>
    </row>
    <row r="32" spans="2:8" ht="16">
      <c r="C32" s="377"/>
      <c r="D32" s="377"/>
    </row>
    <row r="33" spans="2:9" ht="16">
      <c r="B33" s="346" t="s">
        <v>229</v>
      </c>
      <c r="C33" s="346" t="s">
        <v>350</v>
      </c>
      <c r="D33" s="377"/>
      <c r="H33" s="379"/>
    </row>
    <row r="34" spans="2:9" ht="16">
      <c r="B34" s="346"/>
      <c r="C34" s="346" t="s">
        <v>351</v>
      </c>
      <c r="D34" s="377"/>
      <c r="H34" s="524"/>
    </row>
    <row r="35" spans="2:9" ht="16">
      <c r="C35" s="346"/>
      <c r="D35" s="377"/>
      <c r="H35" s="523"/>
    </row>
    <row r="36" spans="2:9" ht="16">
      <c r="B36" s="346" t="s">
        <v>230</v>
      </c>
      <c r="C36" s="346" t="s">
        <v>352</v>
      </c>
      <c r="D36" s="377"/>
      <c r="H36" s="379"/>
      <c r="I36" s="877">
        <v>40210</v>
      </c>
    </row>
    <row r="37" spans="2:9" ht="16">
      <c r="C37" s="377" t="s">
        <v>1563</v>
      </c>
      <c r="D37" s="377"/>
      <c r="H37" s="523"/>
    </row>
    <row r="38" spans="2:9" ht="16">
      <c r="B38" s="346" t="s">
        <v>175</v>
      </c>
      <c r="C38" s="346" t="s">
        <v>353</v>
      </c>
      <c r="D38" s="377"/>
      <c r="H38" s="379"/>
    </row>
    <row r="39" spans="2:9" ht="16">
      <c r="B39" s="346"/>
      <c r="C39" s="346"/>
      <c r="D39" s="377"/>
      <c r="H39" s="523"/>
    </row>
    <row r="40" spans="2:9" ht="16">
      <c r="B40" s="346"/>
      <c r="C40" s="346"/>
      <c r="D40" s="346" t="s">
        <v>144</v>
      </c>
      <c r="H40" s="379"/>
    </row>
    <row r="41" spans="2:9" ht="16">
      <c r="B41" s="346"/>
      <c r="C41" s="346"/>
      <c r="D41" s="346" t="s">
        <v>146</v>
      </c>
      <c r="H41" s="379"/>
    </row>
    <row r="42" spans="2:9" ht="16">
      <c r="B42" s="346"/>
      <c r="C42" s="346"/>
      <c r="D42" s="346" t="s">
        <v>145</v>
      </c>
      <c r="H42" s="379"/>
    </row>
    <row r="43" spans="2:9" ht="16">
      <c r="C43" s="377"/>
      <c r="D43" s="377"/>
      <c r="H43" s="523"/>
    </row>
    <row r="44" spans="2:9" ht="16">
      <c r="B44" s="346" t="s">
        <v>176</v>
      </c>
      <c r="C44" s="346" t="s">
        <v>354</v>
      </c>
      <c r="D44" s="377"/>
      <c r="H44" s="379"/>
      <c r="I44" s="877">
        <v>40908</v>
      </c>
    </row>
    <row r="45" spans="2:9" ht="16">
      <c r="C45" s="377"/>
      <c r="D45" s="377"/>
      <c r="H45" s="523"/>
    </row>
    <row r="46" spans="2:9" ht="16">
      <c r="B46" s="346" t="s">
        <v>177</v>
      </c>
      <c r="C46" s="346" t="s">
        <v>1377</v>
      </c>
      <c r="D46" s="377"/>
      <c r="H46" s="379"/>
    </row>
    <row r="47" spans="2:9" ht="16">
      <c r="C47" s="377"/>
      <c r="D47" s="377"/>
      <c r="H47" s="523"/>
    </row>
    <row r="48" spans="2:9" ht="16">
      <c r="B48" s="346" t="s">
        <v>178</v>
      </c>
      <c r="C48" s="346" t="s">
        <v>147</v>
      </c>
      <c r="D48" s="377"/>
      <c r="H48" s="379"/>
    </row>
    <row r="49" spans="2:8" ht="16">
      <c r="B49" s="346"/>
      <c r="C49" s="346" t="s">
        <v>148</v>
      </c>
      <c r="D49" s="377"/>
      <c r="H49" s="524"/>
    </row>
    <row r="50" spans="2:8" ht="16">
      <c r="C50" s="377"/>
      <c r="H50" s="523"/>
    </row>
    <row r="51" spans="2:8" ht="16">
      <c r="B51" s="346" t="s">
        <v>179</v>
      </c>
      <c r="C51" s="346" t="s">
        <v>355</v>
      </c>
      <c r="H51" s="379"/>
    </row>
    <row r="52" spans="2:8" ht="16">
      <c r="B52" s="346"/>
      <c r="C52" s="346" t="s">
        <v>356</v>
      </c>
      <c r="H52" s="525"/>
    </row>
    <row r="54" spans="2:8" ht="16">
      <c r="B54" s="346" t="s">
        <v>180</v>
      </c>
      <c r="C54" s="346" t="s">
        <v>1166</v>
      </c>
      <c r="H54" s="379"/>
    </row>
  </sheetData>
  <sheetProtection password="CCBC" sheet="1" objects="1" scenarios="1"/>
  <mergeCells count="1">
    <mergeCell ref="B2:H2"/>
  </mergeCells>
  <phoneticPr fontId="0" type="noConversion"/>
  <printOptions horizontalCentered="1" verticalCentered="1"/>
  <pageMargins left="0.75" right="0.75" top="0.56000000000000005" bottom="0.56000000000000005" header="0.5" footer="0.5"/>
  <pageSetup scale="86" orientation="portrait"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J99"/>
  <sheetViews>
    <sheetView zoomScaleNormal="100" workbookViewId="0">
      <selection activeCell="L5" sqref="L5"/>
    </sheetView>
  </sheetViews>
  <sheetFormatPr baseColWidth="10" defaultColWidth="9.1640625" defaultRowHeight="13"/>
  <cols>
    <col min="1" max="1" width="3" style="935" customWidth="1"/>
    <col min="2" max="9" width="9.1640625" style="935"/>
    <col min="10" max="10" width="12.1640625" style="935" customWidth="1"/>
    <col min="11" max="11" width="2.6640625" style="935" customWidth="1"/>
    <col min="12" max="16384" width="9.1640625" style="935"/>
  </cols>
  <sheetData>
    <row r="1" spans="1:10" ht="14" thickBot="1">
      <c r="A1" s="930" t="s">
        <v>1006</v>
      </c>
      <c r="B1" s="931"/>
      <c r="C1" s="932"/>
      <c r="D1" s="932"/>
      <c r="E1" s="932"/>
      <c r="F1" s="932"/>
      <c r="G1" s="932"/>
      <c r="H1" s="933">
        <v>0</v>
      </c>
      <c r="I1" s="934" t="e">
        <f>+Cover!H6</f>
        <v>#N/A</v>
      </c>
      <c r="J1" s="932"/>
    </row>
    <row r="2" spans="1:10" ht="15" thickTop="1" thickBot="1">
      <c r="A2" s="932"/>
      <c r="B2" s="1544" t="s">
        <v>1978</v>
      </c>
      <c r="C2" s="1545"/>
      <c r="D2" s="1545"/>
      <c r="E2" s="1545"/>
      <c r="F2" s="1545"/>
      <c r="G2" s="1545"/>
      <c r="H2" s="1545"/>
      <c r="I2" s="1545"/>
      <c r="J2" s="1546"/>
    </row>
    <row r="3" spans="1:10" ht="14" thickTop="1">
      <c r="A3" s="932"/>
      <c r="B3" s="936"/>
      <c r="C3" s="932"/>
      <c r="D3" s="932"/>
      <c r="E3" s="932"/>
      <c r="F3" s="932"/>
      <c r="G3" s="932"/>
      <c r="H3" s="932"/>
      <c r="I3" s="932"/>
      <c r="J3" s="932"/>
    </row>
    <row r="4" spans="1:10">
      <c r="A4" s="932"/>
      <c r="B4" s="936" t="s">
        <v>1664</v>
      </c>
      <c r="C4" s="932"/>
      <c r="D4" s="932"/>
      <c r="E4" s="1537"/>
      <c r="F4" s="1537"/>
      <c r="G4" s="1537"/>
      <c r="H4" s="1537"/>
      <c r="I4" s="1537"/>
      <c r="J4" s="1537"/>
    </row>
    <row r="5" spans="1:10">
      <c r="A5" s="932"/>
      <c r="B5" s="936"/>
      <c r="C5" s="932"/>
      <c r="D5" s="932"/>
      <c r="E5" s="1537"/>
      <c r="F5" s="1537"/>
      <c r="G5" s="1537"/>
      <c r="H5" s="1537"/>
      <c r="I5" s="1537"/>
      <c r="J5" s="1537"/>
    </row>
    <row r="6" spans="1:10">
      <c r="A6" s="932"/>
      <c r="B6" s="936"/>
      <c r="C6" s="932"/>
      <c r="D6" s="932"/>
      <c r="E6" s="932"/>
      <c r="F6" s="932"/>
      <c r="G6" s="932"/>
      <c r="H6" s="932"/>
      <c r="I6" s="932"/>
      <c r="J6" s="932"/>
    </row>
    <row r="7" spans="1:10">
      <c r="A7" s="932"/>
      <c r="B7" s="936"/>
      <c r="C7" s="932"/>
      <c r="D7" s="932"/>
      <c r="E7" s="932" t="s">
        <v>2001</v>
      </c>
      <c r="F7" s="1536"/>
      <c r="G7" s="1536"/>
      <c r="H7" s="1536"/>
      <c r="I7" s="932" t="s">
        <v>1979</v>
      </c>
      <c r="J7" s="938"/>
    </row>
    <row r="8" spans="1:10">
      <c r="A8" s="932"/>
      <c r="B8" s="936"/>
      <c r="C8" s="932"/>
      <c r="D8" s="932"/>
      <c r="E8" s="932"/>
      <c r="F8" s="939"/>
      <c r="G8" s="939"/>
      <c r="H8" s="939"/>
      <c r="I8" s="932"/>
      <c r="J8" s="940"/>
    </row>
    <row r="9" spans="1:10">
      <c r="A9" s="932"/>
      <c r="B9" s="936"/>
      <c r="C9" s="932"/>
      <c r="D9" s="932"/>
      <c r="E9" s="932" t="s">
        <v>1980</v>
      </c>
      <c r="F9" s="939"/>
      <c r="G9" s="1543"/>
      <c r="H9" s="1543"/>
      <c r="I9" s="941" t="s">
        <v>2000</v>
      </c>
      <c r="J9" s="942"/>
    </row>
    <row r="10" spans="1:10">
      <c r="A10" s="932"/>
      <c r="B10" s="936"/>
      <c r="C10" s="932"/>
      <c r="D10" s="932"/>
      <c r="E10" s="932"/>
      <c r="F10" s="939"/>
      <c r="G10" s="943"/>
      <c r="H10" s="943"/>
      <c r="I10" s="944"/>
      <c r="J10" s="945"/>
    </row>
    <row r="11" spans="1:10">
      <c r="A11" s="932"/>
      <c r="B11" s="936" t="s">
        <v>1665</v>
      </c>
      <c r="C11" s="932"/>
      <c r="D11" s="932"/>
      <c r="E11" s="1537"/>
      <c r="F11" s="1537"/>
      <c r="G11" s="1537"/>
      <c r="H11" s="1537"/>
      <c r="I11" s="1537"/>
      <c r="J11" s="1537"/>
    </row>
    <row r="12" spans="1:10">
      <c r="A12" s="932"/>
      <c r="B12" s="936"/>
      <c r="C12" s="932"/>
      <c r="D12" s="932"/>
      <c r="E12" s="1538"/>
      <c r="F12" s="1538"/>
      <c r="G12" s="1538"/>
      <c r="H12" s="1538"/>
      <c r="I12" s="1538"/>
      <c r="J12" s="1538"/>
    </row>
    <row r="13" spans="1:10">
      <c r="A13" s="932"/>
      <c r="B13" s="936"/>
      <c r="C13" s="932"/>
      <c r="D13" s="932"/>
      <c r="E13" s="932"/>
      <c r="F13" s="932"/>
      <c r="G13" s="932"/>
      <c r="H13" s="932"/>
      <c r="I13" s="932"/>
      <c r="J13" s="932"/>
    </row>
    <row r="14" spans="1:10">
      <c r="A14" s="932"/>
      <c r="B14" s="936"/>
      <c r="C14" s="932"/>
      <c r="D14" s="932"/>
      <c r="E14" s="932" t="s">
        <v>2001</v>
      </c>
      <c r="F14" s="937"/>
      <c r="G14" s="937"/>
      <c r="H14" s="937"/>
      <c r="I14" s="932" t="s">
        <v>1979</v>
      </c>
      <c r="J14" s="938"/>
    </row>
    <row r="15" spans="1:10">
      <c r="A15" s="932"/>
      <c r="B15" s="936"/>
      <c r="C15" s="932"/>
      <c r="D15" s="932"/>
      <c r="E15" s="932"/>
      <c r="F15" s="939"/>
      <c r="G15" s="939"/>
      <c r="H15" s="939"/>
      <c r="I15" s="932"/>
      <c r="J15" s="940"/>
    </row>
    <row r="16" spans="1:10">
      <c r="A16" s="932"/>
      <c r="B16" s="936"/>
      <c r="C16" s="932"/>
      <c r="D16" s="932"/>
      <c r="E16" s="932" t="s">
        <v>1980</v>
      </c>
      <c r="F16" s="939"/>
      <c r="G16" s="946"/>
      <c r="H16" s="946"/>
      <c r="I16" s="932" t="s">
        <v>2000</v>
      </c>
      <c r="J16" s="938"/>
    </row>
    <row r="17" spans="1:10">
      <c r="A17" s="932"/>
      <c r="B17" s="936"/>
      <c r="C17" s="932"/>
      <c r="D17" s="932"/>
      <c r="E17" s="932"/>
      <c r="F17" s="932"/>
      <c r="G17" s="932"/>
      <c r="H17" s="932"/>
      <c r="I17" s="932"/>
      <c r="J17" s="932"/>
    </row>
    <row r="18" spans="1:10">
      <c r="A18" s="932"/>
      <c r="B18" s="1539" t="s">
        <v>1666</v>
      </c>
      <c r="C18" s="1540"/>
      <c r="D18" s="1540"/>
      <c r="E18" s="1537"/>
      <c r="F18" s="1537"/>
      <c r="G18" s="1537"/>
      <c r="H18" s="1537"/>
      <c r="I18" s="1537"/>
      <c r="J18" s="1537"/>
    </row>
    <row r="19" spans="1:10">
      <c r="A19" s="932"/>
      <c r="B19" s="1541" t="str">
        <f>IF(B18=("Managing Member"),("Limited Liability Company"),("Limited Partnership"))</f>
        <v>Limited Liability Company</v>
      </c>
      <c r="C19" s="1542"/>
      <c r="D19" s="1542"/>
      <c r="E19" s="1537"/>
      <c r="F19" s="1537"/>
      <c r="G19" s="1537"/>
      <c r="H19" s="1537"/>
      <c r="I19" s="1537"/>
      <c r="J19" s="1537"/>
    </row>
    <row r="20" spans="1:10">
      <c r="A20" s="932"/>
      <c r="B20" s="947"/>
      <c r="C20" s="948"/>
      <c r="D20" s="932"/>
      <c r="E20" s="932"/>
      <c r="F20" s="932"/>
      <c r="G20" s="932"/>
      <c r="H20" s="932"/>
      <c r="I20" s="932"/>
      <c r="J20" s="932"/>
    </row>
    <row r="21" spans="1:10">
      <c r="A21" s="932"/>
      <c r="B21" s="936"/>
      <c r="C21" s="932"/>
      <c r="D21" s="932"/>
      <c r="E21" s="932" t="s">
        <v>2001</v>
      </c>
      <c r="F21" s="1536"/>
      <c r="G21" s="1536"/>
      <c r="H21" s="1536"/>
      <c r="I21" s="932" t="s">
        <v>1979</v>
      </c>
      <c r="J21" s="938"/>
    </row>
    <row r="22" spans="1:10">
      <c r="A22" s="932"/>
      <c r="B22" s="936"/>
      <c r="C22" s="932"/>
      <c r="D22" s="932"/>
      <c r="E22" s="932"/>
      <c r="F22" s="939"/>
      <c r="G22" s="939"/>
      <c r="H22" s="939"/>
      <c r="I22" s="932"/>
      <c r="J22" s="940"/>
    </row>
    <row r="23" spans="1:10">
      <c r="A23" s="932"/>
      <c r="B23" s="936"/>
      <c r="C23" s="932"/>
      <c r="D23" s="932"/>
      <c r="E23" s="932" t="s">
        <v>1980</v>
      </c>
      <c r="F23" s="939"/>
      <c r="G23" s="1543"/>
      <c r="H23" s="1543"/>
      <c r="I23" s="941" t="s">
        <v>2000</v>
      </c>
      <c r="J23" s="942"/>
    </row>
    <row r="24" spans="1:10">
      <c r="A24" s="932"/>
      <c r="B24" s="936"/>
      <c r="C24" s="932"/>
      <c r="D24" s="932"/>
      <c r="E24" s="932"/>
      <c r="F24" s="939"/>
      <c r="G24" s="943"/>
      <c r="H24" s="943"/>
      <c r="I24" s="948"/>
      <c r="J24" s="945"/>
    </row>
    <row r="25" spans="1:10">
      <c r="A25" s="932"/>
      <c r="B25" s="936" t="s">
        <v>478</v>
      </c>
      <c r="C25" s="932"/>
      <c r="D25" s="932"/>
      <c r="E25" s="1537"/>
      <c r="F25" s="1537"/>
      <c r="G25" s="1537"/>
      <c r="H25" s="1537"/>
      <c r="I25" s="1537"/>
      <c r="J25" s="1537"/>
    </row>
    <row r="26" spans="1:10">
      <c r="A26" s="932"/>
      <c r="B26" s="936"/>
      <c r="C26" s="932"/>
      <c r="D26" s="932"/>
      <c r="E26" s="1538"/>
      <c r="F26" s="1538"/>
      <c r="G26" s="1538"/>
      <c r="H26" s="1538"/>
      <c r="I26" s="1538"/>
      <c r="J26" s="1538"/>
    </row>
    <row r="27" spans="1:10">
      <c r="A27" s="932"/>
      <c r="B27" s="936"/>
      <c r="C27" s="932"/>
      <c r="D27" s="932"/>
      <c r="E27" s="932"/>
      <c r="F27" s="932"/>
      <c r="G27" s="932"/>
      <c r="H27" s="932"/>
      <c r="I27" s="932"/>
      <c r="J27" s="932"/>
    </row>
    <row r="28" spans="1:10">
      <c r="A28" s="932"/>
      <c r="B28" s="936"/>
      <c r="C28" s="932"/>
      <c r="D28" s="932"/>
      <c r="E28" s="932" t="s">
        <v>2001</v>
      </c>
      <c r="F28" s="937"/>
      <c r="G28" s="937"/>
      <c r="H28" s="937"/>
      <c r="I28" s="932" t="s">
        <v>1979</v>
      </c>
      <c r="J28" s="938"/>
    </row>
    <row r="29" spans="1:10">
      <c r="A29" s="932"/>
      <c r="B29" s="936"/>
      <c r="C29" s="932"/>
      <c r="D29" s="932"/>
      <c r="E29" s="932"/>
      <c r="F29" s="939"/>
      <c r="G29" s="939"/>
      <c r="H29" s="939"/>
      <c r="I29" s="932"/>
      <c r="J29" s="940"/>
    </row>
    <row r="30" spans="1:10">
      <c r="A30" s="932"/>
      <c r="B30" s="936"/>
      <c r="C30" s="932"/>
      <c r="D30" s="932"/>
      <c r="E30" s="932" t="s">
        <v>1980</v>
      </c>
      <c r="F30" s="939"/>
      <c r="G30" s="946"/>
      <c r="H30" s="946"/>
      <c r="I30" s="932" t="s">
        <v>2000</v>
      </c>
      <c r="J30" s="938"/>
    </row>
    <row r="31" spans="1:10">
      <c r="A31" s="932"/>
      <c r="B31" s="936"/>
      <c r="C31" s="932"/>
      <c r="D31" s="932"/>
      <c r="E31" s="932"/>
      <c r="F31" s="939"/>
      <c r="G31" s="943"/>
      <c r="H31" s="943"/>
      <c r="I31" s="948"/>
      <c r="J31" s="945"/>
    </row>
    <row r="32" spans="1:10">
      <c r="A32" s="932"/>
      <c r="B32" s="936" t="s">
        <v>479</v>
      </c>
      <c r="C32" s="932"/>
      <c r="D32" s="932"/>
      <c r="E32" s="1537"/>
      <c r="F32" s="1537"/>
      <c r="G32" s="1537"/>
      <c r="H32" s="1537"/>
      <c r="I32" s="1537"/>
      <c r="J32" s="1537"/>
    </row>
    <row r="33" spans="1:10">
      <c r="A33" s="932"/>
      <c r="B33" s="936"/>
      <c r="C33" s="932"/>
      <c r="D33" s="932"/>
      <c r="E33" s="1538"/>
      <c r="F33" s="1538"/>
      <c r="G33" s="1538"/>
      <c r="H33" s="1538"/>
      <c r="I33" s="1538"/>
      <c r="J33" s="1538"/>
    </row>
    <row r="34" spans="1:10">
      <c r="A34" s="932"/>
      <c r="B34" s="936"/>
      <c r="C34" s="932"/>
      <c r="D34" s="932"/>
      <c r="E34" s="932"/>
      <c r="F34" s="932"/>
      <c r="G34" s="932"/>
      <c r="H34" s="932"/>
      <c r="I34" s="932"/>
      <c r="J34" s="932"/>
    </row>
    <row r="35" spans="1:10">
      <c r="A35" s="932"/>
      <c r="B35" s="936"/>
      <c r="C35" s="932"/>
      <c r="D35" s="932"/>
      <c r="E35" s="932" t="s">
        <v>2001</v>
      </c>
      <c r="F35" s="937"/>
      <c r="G35" s="937"/>
      <c r="H35" s="937"/>
      <c r="I35" s="932" t="s">
        <v>1979</v>
      </c>
      <c r="J35" s="938"/>
    </row>
    <row r="36" spans="1:10">
      <c r="A36" s="932"/>
      <c r="B36" s="936"/>
      <c r="C36" s="932"/>
      <c r="D36" s="932"/>
      <c r="E36" s="932"/>
      <c r="F36" s="939"/>
      <c r="G36" s="939"/>
      <c r="H36" s="939"/>
      <c r="I36" s="932"/>
      <c r="J36" s="940"/>
    </row>
    <row r="37" spans="1:10">
      <c r="A37" s="932"/>
      <c r="B37" s="936"/>
      <c r="C37" s="932"/>
      <c r="D37" s="932"/>
      <c r="E37" s="932" t="s">
        <v>1980</v>
      </c>
      <c r="F37" s="939"/>
      <c r="G37" s="946"/>
      <c r="H37" s="946"/>
      <c r="I37" s="932" t="s">
        <v>2000</v>
      </c>
      <c r="J37" s="938"/>
    </row>
    <row r="38" spans="1:10">
      <c r="A38" s="932"/>
      <c r="B38" s="936"/>
      <c r="C38" s="932"/>
      <c r="D38" s="932"/>
      <c r="E38" s="932"/>
      <c r="F38" s="932"/>
      <c r="G38" s="932"/>
      <c r="H38" s="932"/>
      <c r="I38" s="932"/>
      <c r="J38" s="932"/>
    </row>
    <row r="39" spans="1:10">
      <c r="A39" s="932"/>
      <c r="B39" s="936" t="s">
        <v>1276</v>
      </c>
      <c r="C39" s="932"/>
      <c r="D39" s="932"/>
      <c r="E39" s="1537"/>
      <c r="F39" s="1537"/>
      <c r="G39" s="1537"/>
      <c r="H39" s="1537"/>
      <c r="I39" s="1537"/>
      <c r="J39" s="1537"/>
    </row>
    <row r="40" spans="1:10">
      <c r="A40" s="932"/>
      <c r="B40" s="936"/>
      <c r="C40" s="932"/>
      <c r="D40" s="932"/>
      <c r="E40" s="1537"/>
      <c r="F40" s="1537"/>
      <c r="G40" s="1537"/>
      <c r="H40" s="1537"/>
      <c r="I40" s="1537"/>
      <c r="J40" s="1537"/>
    </row>
    <row r="41" spans="1:10">
      <c r="A41" s="932"/>
      <c r="B41" s="936"/>
      <c r="C41" s="932"/>
      <c r="D41" s="932"/>
      <c r="E41" s="932"/>
      <c r="F41" s="932"/>
      <c r="G41" s="932"/>
      <c r="H41" s="932"/>
      <c r="I41" s="932"/>
      <c r="J41" s="932"/>
    </row>
    <row r="42" spans="1:10">
      <c r="A42" s="932"/>
      <c r="B42" s="936"/>
      <c r="C42" s="932"/>
      <c r="D42" s="932"/>
      <c r="E42" s="932" t="s">
        <v>2001</v>
      </c>
      <c r="F42" s="1536"/>
      <c r="G42" s="1536"/>
      <c r="H42" s="1536"/>
      <c r="I42" s="932" t="s">
        <v>1979</v>
      </c>
      <c r="J42" s="938"/>
    </row>
    <row r="43" spans="1:10">
      <c r="A43" s="932"/>
      <c r="B43" s="936"/>
      <c r="C43" s="932"/>
      <c r="D43" s="932"/>
      <c r="E43" s="932"/>
      <c r="F43" s="932"/>
      <c r="G43" s="932"/>
      <c r="H43" s="932"/>
      <c r="I43" s="932"/>
      <c r="J43" s="932"/>
    </row>
    <row r="44" spans="1:10">
      <c r="A44" s="932"/>
      <c r="B44" s="936" t="s">
        <v>402</v>
      </c>
      <c r="C44" s="932"/>
      <c r="D44" s="932"/>
      <c r="E44" s="1537"/>
      <c r="F44" s="1537"/>
      <c r="G44" s="1537"/>
      <c r="H44" s="1537"/>
      <c r="I44" s="1537"/>
      <c r="J44" s="1537"/>
    </row>
    <row r="45" spans="1:10">
      <c r="A45" s="932"/>
      <c r="B45" s="936"/>
      <c r="C45" s="932"/>
      <c r="D45" s="932"/>
      <c r="E45" s="1537"/>
      <c r="F45" s="1537"/>
      <c r="G45" s="1537"/>
      <c r="H45" s="1537"/>
      <c r="I45" s="1537"/>
      <c r="J45" s="1537"/>
    </row>
    <row r="46" spans="1:10">
      <c r="A46" s="932"/>
      <c r="B46" s="936"/>
      <c r="C46" s="932"/>
      <c r="D46" s="932"/>
      <c r="E46" s="932"/>
      <c r="F46" s="932"/>
      <c r="G46" s="932"/>
      <c r="H46" s="932"/>
      <c r="I46" s="932"/>
      <c r="J46" s="932"/>
    </row>
    <row r="47" spans="1:10">
      <c r="A47" s="932"/>
      <c r="B47" s="936"/>
      <c r="C47" s="932"/>
      <c r="D47" s="932"/>
      <c r="E47" s="932" t="s">
        <v>2001</v>
      </c>
      <c r="F47" s="1536"/>
      <c r="G47" s="1536"/>
      <c r="H47" s="1536"/>
      <c r="I47" s="932" t="s">
        <v>1979</v>
      </c>
      <c r="J47" s="938"/>
    </row>
    <row r="48" spans="1:10">
      <c r="A48" s="932"/>
      <c r="B48" s="936"/>
      <c r="C48" s="932"/>
      <c r="D48" s="932"/>
      <c r="E48" s="932"/>
      <c r="F48" s="932"/>
      <c r="G48" s="932"/>
      <c r="H48" s="932"/>
      <c r="I48" s="932"/>
      <c r="J48" s="932"/>
    </row>
    <row r="49" spans="1:10">
      <c r="A49" s="932"/>
      <c r="B49" s="936" t="s">
        <v>1981</v>
      </c>
      <c r="C49" s="932"/>
      <c r="D49" s="932"/>
      <c r="E49" s="1537"/>
      <c r="F49" s="1537"/>
      <c r="G49" s="1537"/>
      <c r="H49" s="1537"/>
      <c r="I49" s="1537"/>
      <c r="J49" s="1537"/>
    </row>
    <row r="50" spans="1:10">
      <c r="A50" s="932"/>
      <c r="B50" s="936"/>
      <c r="C50" s="932"/>
      <c r="D50" s="932"/>
      <c r="E50" s="1537"/>
      <c r="F50" s="1537"/>
      <c r="G50" s="1537"/>
      <c r="H50" s="1537"/>
      <c r="I50" s="1537"/>
      <c r="J50" s="1537"/>
    </row>
    <row r="51" spans="1:10">
      <c r="A51" s="932"/>
      <c r="B51" s="936"/>
      <c r="C51" s="932"/>
      <c r="D51" s="932"/>
      <c r="E51" s="932"/>
      <c r="F51" s="932"/>
      <c r="G51" s="932"/>
      <c r="H51" s="932"/>
      <c r="I51" s="932"/>
      <c r="J51" s="932"/>
    </row>
    <row r="52" spans="1:10">
      <c r="A52" s="932"/>
      <c r="B52" s="936"/>
      <c r="C52" s="932"/>
      <c r="D52" s="932"/>
      <c r="E52" s="932" t="s">
        <v>2001</v>
      </c>
      <c r="F52" s="1536"/>
      <c r="G52" s="1536"/>
      <c r="H52" s="1536"/>
      <c r="I52" s="932" t="s">
        <v>1979</v>
      </c>
      <c r="J52" s="938"/>
    </row>
    <row r="53" spans="1:10">
      <c r="A53" s="932"/>
      <c r="B53" s="936"/>
      <c r="C53" s="932"/>
      <c r="D53" s="932"/>
      <c r="E53" s="932"/>
      <c r="F53" s="932"/>
      <c r="G53" s="932"/>
      <c r="H53" s="932"/>
      <c r="I53" s="932"/>
      <c r="J53" s="932"/>
    </row>
    <row r="54" spans="1:10">
      <c r="A54" s="932"/>
      <c r="B54" s="936"/>
      <c r="C54" s="932"/>
      <c r="D54" s="932"/>
      <c r="E54" s="932"/>
      <c r="F54" s="932"/>
      <c r="G54" s="932"/>
      <c r="H54" s="932"/>
      <c r="I54" s="932"/>
      <c r="J54" s="932"/>
    </row>
    <row r="55" spans="1:10">
      <c r="A55" s="932"/>
      <c r="B55" s="936" t="s">
        <v>1982</v>
      </c>
      <c r="C55" s="932"/>
      <c r="D55" s="932"/>
      <c r="E55" s="1537"/>
      <c r="F55" s="1537"/>
      <c r="G55" s="1537"/>
      <c r="H55" s="1537"/>
      <c r="I55" s="1537"/>
      <c r="J55" s="1537"/>
    </row>
    <row r="56" spans="1:10">
      <c r="A56" s="932"/>
      <c r="B56" s="936" t="s">
        <v>480</v>
      </c>
      <c r="C56" s="932"/>
      <c r="D56" s="932"/>
      <c r="E56" s="1537"/>
      <c r="F56" s="1537"/>
      <c r="G56" s="1537"/>
      <c r="H56" s="1537"/>
      <c r="I56" s="1537"/>
      <c r="J56" s="1537"/>
    </row>
    <row r="57" spans="1:10">
      <c r="A57" s="932"/>
      <c r="B57" s="936"/>
      <c r="C57" s="932"/>
      <c r="D57" s="932"/>
      <c r="E57" s="932"/>
      <c r="F57" s="932"/>
      <c r="G57" s="932"/>
      <c r="H57" s="932"/>
      <c r="I57" s="932"/>
      <c r="J57" s="932"/>
    </row>
    <row r="58" spans="1:10">
      <c r="A58" s="932"/>
      <c r="B58" s="936"/>
      <c r="C58" s="932"/>
      <c r="D58" s="932"/>
      <c r="E58" s="932" t="s">
        <v>2001</v>
      </c>
      <c r="F58" s="1536"/>
      <c r="G58" s="1536"/>
      <c r="H58" s="1536"/>
      <c r="I58" s="932" t="s">
        <v>1979</v>
      </c>
      <c r="J58" s="938"/>
    </row>
    <row r="59" spans="1:10">
      <c r="A59" s="932"/>
      <c r="B59" s="936"/>
      <c r="C59" s="932"/>
      <c r="D59" s="932"/>
      <c r="E59" s="932"/>
      <c r="F59" s="932"/>
      <c r="G59" s="932"/>
      <c r="H59" s="932"/>
      <c r="I59" s="932"/>
      <c r="J59" s="932"/>
    </row>
    <row r="60" spans="1:10">
      <c r="A60" s="932"/>
      <c r="B60" s="936" t="s">
        <v>1278</v>
      </c>
      <c r="C60" s="932"/>
      <c r="D60" s="932"/>
      <c r="E60" s="1537"/>
      <c r="F60" s="1537"/>
      <c r="G60" s="1537"/>
      <c r="H60" s="1537"/>
      <c r="I60" s="1537"/>
      <c r="J60" s="1537"/>
    </row>
    <row r="61" spans="1:10">
      <c r="A61" s="932"/>
      <c r="B61" s="936" t="s">
        <v>1277</v>
      </c>
      <c r="C61" s="932"/>
      <c r="D61" s="932"/>
      <c r="E61" s="1537"/>
      <c r="F61" s="1537"/>
      <c r="G61" s="1537"/>
      <c r="H61" s="1537"/>
      <c r="I61" s="1537"/>
      <c r="J61" s="1537"/>
    </row>
    <row r="62" spans="1:10">
      <c r="A62" s="932"/>
      <c r="B62" s="936"/>
      <c r="C62" s="932"/>
      <c r="D62" s="932"/>
      <c r="E62" s="932"/>
      <c r="F62" s="932"/>
      <c r="G62" s="932"/>
      <c r="H62" s="932"/>
      <c r="I62" s="932"/>
      <c r="J62" s="932"/>
    </row>
    <row r="63" spans="1:10">
      <c r="A63" s="932"/>
      <c r="B63" s="936"/>
      <c r="C63" s="932"/>
      <c r="D63" s="932"/>
      <c r="E63" s="932" t="s">
        <v>2001</v>
      </c>
      <c r="F63" s="1536"/>
      <c r="G63" s="1536"/>
      <c r="H63" s="1536"/>
      <c r="I63" s="932" t="s">
        <v>1979</v>
      </c>
      <c r="J63" s="938"/>
    </row>
    <row r="64" spans="1:10">
      <c r="A64" s="932"/>
      <c r="B64" s="936"/>
      <c r="C64" s="932"/>
      <c r="D64" s="932"/>
      <c r="E64" s="932"/>
      <c r="F64" s="932"/>
      <c r="G64" s="932"/>
      <c r="H64" s="932"/>
      <c r="I64" s="932"/>
      <c r="J64" s="932"/>
    </row>
    <row r="65" spans="1:10">
      <c r="A65" s="932"/>
      <c r="B65" s="936"/>
      <c r="C65" s="932"/>
      <c r="D65" s="932"/>
      <c r="E65" s="932"/>
      <c r="F65" s="932"/>
      <c r="G65" s="932"/>
      <c r="H65" s="932"/>
      <c r="I65" s="932"/>
      <c r="J65" s="932"/>
    </row>
    <row r="66" spans="1:10">
      <c r="A66" s="932"/>
      <c r="B66" s="936" t="s">
        <v>1279</v>
      </c>
      <c r="C66" s="932"/>
      <c r="D66" s="932"/>
      <c r="E66" s="1537"/>
      <c r="F66" s="1537"/>
      <c r="G66" s="1537"/>
      <c r="H66" s="1537"/>
      <c r="I66" s="1537"/>
      <c r="J66" s="1537"/>
    </row>
    <row r="67" spans="1:10">
      <c r="A67" s="932"/>
      <c r="B67" s="936" t="s">
        <v>1277</v>
      </c>
      <c r="C67" s="932"/>
      <c r="D67" s="932"/>
      <c r="E67" s="1537"/>
      <c r="F67" s="1537"/>
      <c r="G67" s="1537"/>
      <c r="H67" s="1537"/>
      <c r="I67" s="1537"/>
      <c r="J67" s="1537"/>
    </row>
    <row r="68" spans="1:10">
      <c r="A68" s="932"/>
      <c r="B68" s="936"/>
      <c r="C68" s="932"/>
      <c r="D68" s="932"/>
      <c r="E68" s="932"/>
      <c r="F68" s="932"/>
      <c r="G68" s="932"/>
      <c r="H68" s="932"/>
      <c r="I68" s="932"/>
      <c r="J68" s="932"/>
    </row>
    <row r="69" spans="1:10">
      <c r="A69" s="932"/>
      <c r="B69" s="936"/>
      <c r="C69" s="932"/>
      <c r="D69" s="932"/>
      <c r="E69" s="932" t="s">
        <v>2001</v>
      </c>
      <c r="F69" s="1536"/>
      <c r="G69" s="1536"/>
      <c r="H69" s="1536"/>
      <c r="I69" s="932" t="s">
        <v>1979</v>
      </c>
      <c r="J69" s="938"/>
    </row>
    <row r="70" spans="1:10">
      <c r="A70" s="932"/>
      <c r="B70" s="936"/>
      <c r="C70" s="932"/>
      <c r="D70" s="932"/>
      <c r="E70" s="932"/>
      <c r="F70" s="932"/>
      <c r="G70" s="932"/>
      <c r="H70" s="932"/>
      <c r="I70" s="932"/>
      <c r="J70" s="932"/>
    </row>
    <row r="71" spans="1:10">
      <c r="A71" s="932"/>
      <c r="B71" s="936" t="s">
        <v>1498</v>
      </c>
      <c r="C71" s="932"/>
      <c r="D71" s="932"/>
      <c r="E71" s="1537"/>
      <c r="F71" s="1537"/>
      <c r="G71" s="1537"/>
      <c r="H71" s="1537"/>
      <c r="I71" s="1537"/>
      <c r="J71" s="1537"/>
    </row>
    <row r="72" spans="1:10">
      <c r="A72" s="932"/>
      <c r="B72" s="936"/>
      <c r="C72" s="932"/>
      <c r="D72" s="932"/>
      <c r="E72" s="1537"/>
      <c r="F72" s="1537"/>
      <c r="G72" s="1537"/>
      <c r="H72" s="1537"/>
      <c r="I72" s="1537"/>
      <c r="J72" s="1537"/>
    </row>
    <row r="73" spans="1:10">
      <c r="A73" s="932"/>
      <c r="B73" s="936"/>
      <c r="C73" s="932"/>
      <c r="D73" s="932"/>
      <c r="E73" s="932"/>
      <c r="F73" s="932"/>
      <c r="G73" s="932"/>
      <c r="H73" s="932"/>
      <c r="I73" s="932"/>
      <c r="J73" s="932"/>
    </row>
    <row r="74" spans="1:10">
      <c r="A74" s="932"/>
      <c r="B74" s="936"/>
      <c r="C74" s="932"/>
      <c r="D74" s="932"/>
      <c r="E74" s="932" t="s">
        <v>2001</v>
      </c>
      <c r="F74" s="1536"/>
      <c r="G74" s="1536"/>
      <c r="H74" s="1536"/>
      <c r="I74" s="932" t="s">
        <v>1979</v>
      </c>
      <c r="J74" s="938"/>
    </row>
    <row r="75" spans="1:10">
      <c r="A75" s="932"/>
      <c r="B75" s="936"/>
      <c r="C75" s="932"/>
      <c r="D75" s="932"/>
      <c r="E75" s="932"/>
      <c r="F75" s="949"/>
      <c r="G75" s="949"/>
      <c r="H75" s="949"/>
      <c r="I75" s="948"/>
      <c r="J75" s="950"/>
    </row>
    <row r="76" spans="1:10">
      <c r="A76" s="932"/>
      <c r="B76" s="936" t="s">
        <v>481</v>
      </c>
      <c r="C76" s="932"/>
      <c r="D76" s="932"/>
      <c r="E76" s="1537"/>
      <c r="F76" s="1537"/>
      <c r="G76" s="1537"/>
      <c r="H76" s="1537"/>
      <c r="I76" s="1537"/>
      <c r="J76" s="1537"/>
    </row>
    <row r="77" spans="1:10">
      <c r="A77" s="932"/>
      <c r="B77" s="936"/>
      <c r="C77" s="932"/>
      <c r="D77" s="932"/>
      <c r="E77" s="1537"/>
      <c r="F77" s="1537"/>
      <c r="G77" s="1537"/>
      <c r="H77" s="1537"/>
      <c r="I77" s="1537"/>
      <c r="J77" s="1537"/>
    </row>
    <row r="78" spans="1:10">
      <c r="A78" s="932"/>
      <c r="B78" s="936"/>
      <c r="C78" s="932"/>
      <c r="D78" s="932"/>
      <c r="E78" s="932"/>
      <c r="F78" s="932"/>
      <c r="G78" s="932"/>
      <c r="H78" s="932"/>
      <c r="I78" s="932"/>
      <c r="J78" s="932"/>
    </row>
    <row r="79" spans="1:10">
      <c r="A79" s="932"/>
      <c r="B79" s="936"/>
      <c r="C79" s="932"/>
      <c r="D79" s="932"/>
      <c r="E79" s="932" t="s">
        <v>2001</v>
      </c>
      <c r="F79" s="1536"/>
      <c r="G79" s="1536"/>
      <c r="H79" s="1536"/>
      <c r="I79" s="932" t="s">
        <v>1500</v>
      </c>
      <c r="J79" s="938"/>
    </row>
    <row r="80" spans="1:10" ht="12" customHeight="1">
      <c r="A80" s="932"/>
      <c r="B80" s="936"/>
      <c r="C80" s="932"/>
      <c r="D80" s="932"/>
      <c r="E80" s="932"/>
      <c r="F80" s="951"/>
      <c r="G80" s="951"/>
      <c r="H80" s="951"/>
      <c r="I80" s="948"/>
      <c r="J80" s="952"/>
    </row>
    <row r="81" spans="1:10">
      <c r="A81" s="932"/>
      <c r="B81" s="936" t="s">
        <v>1499</v>
      </c>
      <c r="C81" s="932"/>
      <c r="D81" s="932"/>
      <c r="E81" s="1537"/>
      <c r="F81" s="1537"/>
      <c r="G81" s="1537"/>
      <c r="H81" s="1537"/>
      <c r="I81" s="1537"/>
      <c r="J81" s="1537"/>
    </row>
    <row r="82" spans="1:10">
      <c r="A82" s="932"/>
      <c r="B82" s="936"/>
      <c r="C82" s="932"/>
      <c r="D82" s="932"/>
      <c r="E82" s="1537"/>
      <c r="F82" s="1537"/>
      <c r="G82" s="1537"/>
      <c r="H82" s="1537"/>
      <c r="I82" s="1537"/>
      <c r="J82" s="1537"/>
    </row>
    <row r="83" spans="1:10">
      <c r="A83" s="932"/>
      <c r="B83" s="936"/>
      <c r="C83" s="932"/>
      <c r="D83" s="932"/>
      <c r="E83" s="932"/>
      <c r="F83" s="932"/>
      <c r="G83" s="932"/>
      <c r="H83" s="932"/>
      <c r="I83" s="932"/>
      <c r="J83" s="932"/>
    </row>
    <row r="84" spans="1:10">
      <c r="A84" s="932"/>
      <c r="B84" s="936"/>
      <c r="C84" s="932"/>
      <c r="D84" s="932"/>
      <c r="E84" s="932" t="s">
        <v>2001</v>
      </c>
      <c r="F84" s="1536"/>
      <c r="G84" s="1536"/>
      <c r="H84" s="1536"/>
      <c r="I84" s="932" t="s">
        <v>1500</v>
      </c>
      <c r="J84" s="938"/>
    </row>
    <row r="87" spans="1:10">
      <c r="C87" s="1056" t="s">
        <v>477</v>
      </c>
    </row>
    <row r="95" spans="1:10" hidden="1"/>
    <row r="96" spans="1:10" hidden="1">
      <c r="C96" s="935" t="s">
        <v>482</v>
      </c>
      <c r="F96" s="935" t="s">
        <v>1571</v>
      </c>
    </row>
    <row r="97" spans="3:6" hidden="1">
      <c r="C97" s="935" t="s">
        <v>1666</v>
      </c>
      <c r="F97" s="935" t="s">
        <v>483</v>
      </c>
    </row>
    <row r="98" spans="3:6" hidden="1"/>
    <row r="99" spans="3:6" hidden="1"/>
  </sheetData>
  <sheetProtection password="CCBC" sheet="1"/>
  <mergeCells count="44">
    <mergeCell ref="E11:J11"/>
    <mergeCell ref="B2:J2"/>
    <mergeCell ref="E4:J4"/>
    <mergeCell ref="E5:J5"/>
    <mergeCell ref="F7:H7"/>
    <mergeCell ref="G9:H9"/>
    <mergeCell ref="E61:J61"/>
    <mergeCell ref="F63:H63"/>
    <mergeCell ref="E66:J66"/>
    <mergeCell ref="E12:J12"/>
    <mergeCell ref="B18:D18"/>
    <mergeCell ref="B19:D19"/>
    <mergeCell ref="E25:J25"/>
    <mergeCell ref="E26:J26"/>
    <mergeCell ref="E32:J32"/>
    <mergeCell ref="E33:J33"/>
    <mergeCell ref="E39:J39"/>
    <mergeCell ref="E40:J40"/>
    <mergeCell ref="E18:J18"/>
    <mergeCell ref="E19:J19"/>
    <mergeCell ref="F21:H21"/>
    <mergeCell ref="G23:H23"/>
    <mergeCell ref="E82:J82"/>
    <mergeCell ref="F84:H84"/>
    <mergeCell ref="E76:J76"/>
    <mergeCell ref="E77:J77"/>
    <mergeCell ref="F42:H42"/>
    <mergeCell ref="E44:J44"/>
    <mergeCell ref="E67:J67"/>
    <mergeCell ref="F47:H47"/>
    <mergeCell ref="E49:J49"/>
    <mergeCell ref="E50:J50"/>
    <mergeCell ref="F52:H52"/>
    <mergeCell ref="E55:J55"/>
    <mergeCell ref="E56:J56"/>
    <mergeCell ref="F58:H58"/>
    <mergeCell ref="E45:J45"/>
    <mergeCell ref="E60:J60"/>
    <mergeCell ref="F69:H69"/>
    <mergeCell ref="E71:J71"/>
    <mergeCell ref="E72:J72"/>
    <mergeCell ref="F74:H74"/>
    <mergeCell ref="E81:J81"/>
    <mergeCell ref="F79:H79"/>
  </mergeCells>
  <phoneticPr fontId="51" type="noConversion"/>
  <dataValidations count="2">
    <dataValidation type="whole" allowBlank="1" showInputMessage="1" showErrorMessage="1" errorTitle="Inproper Input" error="The number must be a phone number.  Be sure to include the area code." promptTitle="Input Information:" prompt="Please input the phone number.  Use all numbers (the computer will insert parenthesis and hyphens as appropriate)." sqref="J83:J84 J58 J63 J69 J74:J75 J78:J80 J37 J30:J31 J28 J52 J7 J9:J10 J14 J42 J16 J35 J47 J23:J24 J21" xr:uid="{00000000-0002-0000-1200-000000000000}">
      <formula1>1000000000</formula1>
      <formula2>9999999999</formula2>
    </dataValidation>
    <dataValidation type="list" allowBlank="1" showInputMessage="1" showErrorMessage="1" sqref="B18:D18" xr:uid="{00000000-0002-0000-1200-000001000000}">
      <formula1>$C$96:$C$98</formula1>
    </dataValidation>
  </dataValidations>
  <pageMargins left="0.7" right="0.7" top="0.75" bottom="0.75" header="0.3" footer="0.3"/>
  <pageSetup orientation="portrait" r:id="rId1"/>
  <headerFooter alignWithMargins="0"/>
  <rowBreaks count="1" manualBreakCount="1">
    <brk id="53"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1</xdr:col>
                    <xdr:colOff>520700</xdr:colOff>
                    <xdr:row>85</xdr:row>
                    <xdr:rowOff>165100</xdr:rowOff>
                  </from>
                  <to>
                    <xdr:col>2</xdr:col>
                    <xdr:colOff>114300</xdr:colOff>
                    <xdr:row>87</xdr:row>
                    <xdr:rowOff>25400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Y72"/>
  <sheetViews>
    <sheetView zoomScaleNormal="100" workbookViewId="0">
      <selection activeCell="L5" sqref="L5"/>
    </sheetView>
  </sheetViews>
  <sheetFormatPr baseColWidth="10" defaultColWidth="9.1640625" defaultRowHeight="13"/>
  <cols>
    <col min="1" max="1" width="1.5" style="190" customWidth="1"/>
    <col min="2" max="3" width="3.6640625" style="190" customWidth="1"/>
    <col min="4" max="4" width="26.6640625" style="190" customWidth="1"/>
    <col min="5" max="7" width="14.6640625" style="190" customWidth="1"/>
    <col min="8" max="8" width="1.6640625" style="190" customWidth="1"/>
    <col min="9" max="9" width="25" style="190" customWidth="1"/>
    <col min="10" max="10" width="31.83203125" style="190" customWidth="1"/>
    <col min="11" max="11" width="1.6640625" style="190" customWidth="1"/>
    <col min="12" max="16384" width="9.1640625" style="190"/>
  </cols>
  <sheetData>
    <row r="1" spans="1:51">
      <c r="A1" s="147" t="s">
        <v>1589</v>
      </c>
      <c r="B1" s="122"/>
      <c r="C1" s="122"/>
      <c r="D1" s="122"/>
      <c r="E1" s="122"/>
      <c r="F1" s="122"/>
      <c r="G1" s="122"/>
      <c r="H1" s="122"/>
      <c r="I1" s="879">
        <f>+Name</f>
        <v>0</v>
      </c>
      <c r="J1" s="374" t="e">
        <f>Cover!$H$6</f>
        <v>#N/A</v>
      </c>
      <c r="K1" s="122"/>
      <c r="L1" s="122"/>
    </row>
    <row r="2" spans="1:51" ht="18">
      <c r="A2" s="122"/>
      <c r="B2" s="191">
        <f>E6</f>
        <v>0</v>
      </c>
      <c r="C2" s="192"/>
      <c r="D2" s="192"/>
      <c r="E2" s="122"/>
      <c r="F2" s="122"/>
      <c r="G2" s="122"/>
      <c r="H2" s="122"/>
      <c r="I2" s="122"/>
      <c r="J2" s="122"/>
      <c r="K2" s="122"/>
      <c r="L2" s="122"/>
    </row>
    <row r="3" spans="1:51">
      <c r="A3" s="122"/>
      <c r="B3" s="193" t="s">
        <v>380</v>
      </c>
      <c r="C3" s="194"/>
      <c r="D3" s="195"/>
      <c r="E3" s="5">
        <f ca="1">NOW()</f>
        <v>43383.581258796294</v>
      </c>
      <c r="F3" s="196"/>
      <c r="G3" s="196"/>
      <c r="H3" s="196"/>
      <c r="I3" s="543" t="s">
        <v>1914</v>
      </c>
      <c r="J3" s="811">
        <f>+Cover!H12</f>
        <v>41514</v>
      </c>
      <c r="K3" s="122"/>
      <c r="L3" s="122"/>
    </row>
    <row r="4" spans="1:51" ht="14" thickBot="1">
      <c r="A4" s="122"/>
      <c r="B4" s="197"/>
      <c r="C4" s="198"/>
      <c r="D4" s="198"/>
      <c r="E4" s="199"/>
      <c r="F4" s="122"/>
      <c r="G4" s="196"/>
      <c r="H4" s="196"/>
      <c r="I4" s="122"/>
      <c r="J4" s="657"/>
      <c r="K4" s="3"/>
      <c r="L4" s="122"/>
    </row>
    <row r="5" spans="1:51" ht="15" thickTop="1" thickBot="1">
      <c r="A5" s="122"/>
      <c r="B5" s="200" t="s">
        <v>371</v>
      </c>
      <c r="C5" s="201"/>
      <c r="D5" s="201"/>
      <c r="E5" s="202"/>
      <c r="F5" s="203"/>
      <c r="G5" s="204"/>
      <c r="H5" s="122"/>
      <c r="I5" s="200" t="s">
        <v>372</v>
      </c>
      <c r="J5" s="812"/>
      <c r="K5" s="122"/>
      <c r="L5" s="122"/>
    </row>
    <row r="6" spans="1:51" ht="14" thickTop="1">
      <c r="A6" s="122"/>
      <c r="B6" s="1331" t="s">
        <v>1012</v>
      </c>
      <c r="C6" s="1332"/>
      <c r="D6" s="1333"/>
      <c r="E6" s="1334"/>
      <c r="F6" s="1335"/>
      <c r="G6" s="1336"/>
      <c r="H6" s="205"/>
      <c r="I6" s="760" t="s">
        <v>1898</v>
      </c>
      <c r="J6" s="765"/>
      <c r="K6" s="122"/>
      <c r="L6" s="122"/>
    </row>
    <row r="7" spans="1:51">
      <c r="A7" s="122"/>
      <c r="B7" s="1325" t="s">
        <v>171</v>
      </c>
      <c r="C7" s="1326"/>
      <c r="D7" s="1327"/>
      <c r="E7" s="1337"/>
      <c r="F7" s="1338"/>
      <c r="G7" s="1339"/>
      <c r="H7" s="205"/>
      <c r="I7" s="758" t="s">
        <v>1899</v>
      </c>
      <c r="J7" s="766"/>
      <c r="K7" s="122"/>
      <c r="L7" s="122"/>
      <c r="N7" s="441"/>
      <c r="O7" s="441"/>
      <c r="P7" s="441"/>
      <c r="Q7" s="441"/>
      <c r="R7" s="441"/>
      <c r="S7" s="441"/>
      <c r="T7" s="441"/>
      <c r="U7" s="441"/>
      <c r="V7" s="441"/>
      <c r="W7" s="441"/>
      <c r="X7" s="441"/>
      <c r="Y7" s="441"/>
      <c r="Z7" s="441"/>
      <c r="AA7" s="441"/>
      <c r="AB7" s="441"/>
      <c r="AC7" s="441"/>
      <c r="AD7" s="441"/>
      <c r="AE7" s="441"/>
      <c r="AF7" s="441"/>
      <c r="AG7" s="441"/>
      <c r="AH7" s="441"/>
      <c r="AI7" s="441"/>
      <c r="AJ7" s="441"/>
      <c r="AK7" s="441"/>
      <c r="AL7" s="441"/>
      <c r="AM7" s="441"/>
      <c r="AN7" s="441"/>
      <c r="AO7" s="441"/>
      <c r="AP7" s="441"/>
      <c r="AQ7" s="441"/>
      <c r="AR7" s="441"/>
      <c r="AS7" s="441"/>
      <c r="AT7" s="441"/>
      <c r="AU7" s="441"/>
      <c r="AV7" s="441"/>
      <c r="AW7" s="441"/>
      <c r="AX7" s="441"/>
      <c r="AY7" s="441"/>
    </row>
    <row r="8" spans="1:51">
      <c r="A8" s="122"/>
      <c r="B8" s="1325" t="s">
        <v>908</v>
      </c>
      <c r="C8" s="1326"/>
      <c r="D8" s="1327"/>
      <c r="E8" s="1337"/>
      <c r="F8" s="1338"/>
      <c r="G8" s="1339"/>
      <c r="H8" s="205"/>
      <c r="I8" s="758" t="s">
        <v>1900</v>
      </c>
      <c r="J8" s="767"/>
      <c r="K8" s="122"/>
      <c r="L8" s="122"/>
      <c r="N8" s="441"/>
      <c r="O8" s="441"/>
      <c r="P8" s="441" t="s">
        <v>456</v>
      </c>
      <c r="Q8" s="441" t="s">
        <v>1182</v>
      </c>
      <c r="R8" s="441"/>
      <c r="S8" s="441"/>
      <c r="T8" s="441" t="s">
        <v>417</v>
      </c>
      <c r="U8" s="441"/>
      <c r="V8" s="441"/>
      <c r="W8" s="441" t="s">
        <v>81</v>
      </c>
      <c r="X8" s="441"/>
      <c r="Y8" s="441"/>
      <c r="Z8" s="441" t="s">
        <v>83</v>
      </c>
      <c r="AA8" s="441"/>
      <c r="AB8" s="441"/>
      <c r="AC8" s="441" t="s">
        <v>86</v>
      </c>
      <c r="AD8" s="441"/>
      <c r="AE8" s="441"/>
      <c r="AF8" s="441" t="s">
        <v>91</v>
      </c>
      <c r="AG8" s="441"/>
      <c r="AH8" s="441"/>
      <c r="AI8" s="441" t="s">
        <v>508</v>
      </c>
      <c r="AJ8" s="441"/>
      <c r="AK8" s="441"/>
      <c r="AL8" s="441" t="s">
        <v>1570</v>
      </c>
      <c r="AM8" s="441"/>
      <c r="AN8" s="441"/>
      <c r="AO8" s="441"/>
      <c r="AP8" s="441"/>
      <c r="AQ8" s="441"/>
      <c r="AR8" s="441"/>
      <c r="AS8" s="441"/>
      <c r="AT8" s="441"/>
      <c r="AU8" s="441"/>
      <c r="AV8" s="441"/>
      <c r="AW8" s="441"/>
      <c r="AX8" s="441"/>
      <c r="AY8" s="441"/>
    </row>
    <row r="9" spans="1:51">
      <c r="A9" s="122"/>
      <c r="B9" s="1325" t="s">
        <v>909</v>
      </c>
      <c r="C9" s="1326"/>
      <c r="D9" s="1327"/>
      <c r="E9" s="1337"/>
      <c r="F9" s="1338"/>
      <c r="G9" s="1339"/>
      <c r="H9" s="205"/>
      <c r="I9" s="758" t="s">
        <v>416</v>
      </c>
      <c r="J9" s="767"/>
      <c r="K9" s="122"/>
      <c r="L9" s="122"/>
      <c r="N9" s="441"/>
      <c r="O9" s="441"/>
      <c r="P9" s="441" t="s">
        <v>457</v>
      </c>
      <c r="Q9" s="441" t="s">
        <v>1516</v>
      </c>
      <c r="R9" s="441"/>
      <c r="S9" s="441"/>
      <c r="T9" s="441" t="s">
        <v>418</v>
      </c>
      <c r="U9" s="441"/>
      <c r="V9" s="441"/>
      <c r="W9" s="441" t="s">
        <v>429</v>
      </c>
      <c r="X9" s="441"/>
      <c r="Y9" s="441"/>
      <c r="Z9" s="441" t="s">
        <v>84</v>
      </c>
      <c r="AA9" s="441"/>
      <c r="AB9" s="441"/>
      <c r="AC9" s="441" t="s">
        <v>87</v>
      </c>
      <c r="AD9" s="441"/>
      <c r="AE9" s="441"/>
      <c r="AF9" s="441" t="s">
        <v>92</v>
      </c>
      <c r="AG9" s="441"/>
      <c r="AH9" s="441"/>
      <c r="AI9" s="441" t="s">
        <v>509</v>
      </c>
      <c r="AJ9" s="441"/>
      <c r="AK9" s="441"/>
      <c r="AL9" s="441" t="s">
        <v>1571</v>
      </c>
      <c r="AM9" s="441"/>
      <c r="AN9" s="441"/>
      <c r="AO9" s="441"/>
      <c r="AP9" s="441"/>
      <c r="AQ9" s="441"/>
      <c r="AR9" s="441"/>
      <c r="AS9" s="441"/>
      <c r="AT9" s="441"/>
      <c r="AU9" s="441"/>
      <c r="AV9" s="441"/>
      <c r="AW9" s="441"/>
      <c r="AX9" s="441"/>
      <c r="AY9" s="441"/>
    </row>
    <row r="10" spans="1:51">
      <c r="A10" s="122"/>
      <c r="B10" s="1325" t="s">
        <v>910</v>
      </c>
      <c r="C10" s="1326"/>
      <c r="D10" s="1327"/>
      <c r="E10" s="1337"/>
      <c r="F10" s="1338"/>
      <c r="G10" s="1339"/>
      <c r="H10" s="205"/>
      <c r="I10" s="759" t="s">
        <v>1133</v>
      </c>
      <c r="J10" s="768"/>
      <c r="K10" s="122"/>
      <c r="L10" s="122"/>
      <c r="N10" s="441"/>
      <c r="O10" s="441"/>
      <c r="P10" s="441" t="s">
        <v>458</v>
      </c>
      <c r="Q10" s="441" t="s">
        <v>1517</v>
      </c>
      <c r="R10" s="441"/>
      <c r="S10" s="441"/>
      <c r="T10" s="441" t="s">
        <v>419</v>
      </c>
      <c r="U10" s="441"/>
      <c r="V10" s="441"/>
      <c r="W10" s="441" t="s">
        <v>79</v>
      </c>
      <c r="X10" s="441"/>
      <c r="Y10" s="441"/>
      <c r="Z10" s="441" t="s">
        <v>85</v>
      </c>
      <c r="AA10" s="441"/>
      <c r="AB10" s="441"/>
      <c r="AC10" s="441" t="s">
        <v>88</v>
      </c>
      <c r="AD10" s="441"/>
      <c r="AE10" s="441"/>
      <c r="AF10" s="441"/>
      <c r="AG10" s="441"/>
      <c r="AH10" s="441"/>
      <c r="AI10" s="441" t="s">
        <v>510</v>
      </c>
      <c r="AJ10" s="441"/>
      <c r="AK10" s="441"/>
      <c r="AL10" s="441" t="s">
        <v>1572</v>
      </c>
      <c r="AM10" s="441"/>
      <c r="AN10" s="441"/>
      <c r="AO10" s="441"/>
      <c r="AP10" s="441"/>
      <c r="AQ10" s="441"/>
      <c r="AR10" s="441"/>
      <c r="AS10" s="441"/>
      <c r="AT10" s="441"/>
      <c r="AU10" s="441"/>
      <c r="AV10" s="441"/>
      <c r="AW10" s="441"/>
      <c r="AX10" s="441"/>
      <c r="AY10" s="441"/>
    </row>
    <row r="11" spans="1:51">
      <c r="A11" s="122"/>
      <c r="B11" s="1325" t="s">
        <v>911</v>
      </c>
      <c r="C11" s="1326"/>
      <c r="D11" s="1327"/>
      <c r="E11" s="1337"/>
      <c r="F11" s="1338"/>
      <c r="G11" s="1339"/>
      <c r="H11" s="205"/>
      <c r="I11" s="758" t="s">
        <v>1901</v>
      </c>
      <c r="J11" s="767"/>
      <c r="K11" s="206">
        <f>IF(J11="40% residents at 60% or less",2,IF(J11="20% residents at 50% or less",1,IF(J11="15% residents at 40% or less",3,0)))</f>
        <v>0</v>
      </c>
      <c r="L11" s="122"/>
      <c r="N11" s="441"/>
      <c r="O11" s="441"/>
      <c r="P11" s="441">
        <v>1602</v>
      </c>
      <c r="Q11" s="441" t="s">
        <v>1518</v>
      </c>
      <c r="R11" s="441"/>
      <c r="S11" s="441"/>
      <c r="T11" s="441" t="s">
        <v>420</v>
      </c>
      <c r="U11" s="441"/>
      <c r="V11" s="441"/>
      <c r="W11" s="441" t="s">
        <v>430</v>
      </c>
      <c r="X11" s="441"/>
      <c r="Y11" s="441"/>
      <c r="Z11" s="441"/>
      <c r="AA11" s="441"/>
      <c r="AB11" s="441"/>
      <c r="AC11" s="441" t="s">
        <v>89</v>
      </c>
      <c r="AD11" s="441"/>
      <c r="AE11" s="441"/>
      <c r="AF11" s="441" t="s">
        <v>1180</v>
      </c>
      <c r="AG11" s="441"/>
      <c r="AH11" s="441"/>
      <c r="AI11" s="441" t="s">
        <v>511</v>
      </c>
      <c r="AJ11" s="441"/>
      <c r="AK11" s="441"/>
      <c r="AL11" s="441" t="s">
        <v>1179</v>
      </c>
      <c r="AM11" s="441"/>
      <c r="AN11" s="441"/>
      <c r="AO11" s="441"/>
      <c r="AP11" s="441"/>
      <c r="AQ11" s="441"/>
      <c r="AR11" s="441"/>
      <c r="AS11" s="441"/>
      <c r="AT11" s="441"/>
      <c r="AU11" s="441"/>
      <c r="AV11" s="441"/>
      <c r="AW11" s="441"/>
      <c r="AX11" s="441"/>
      <c r="AY11" s="441"/>
    </row>
    <row r="12" spans="1:51" ht="14" thickBot="1">
      <c r="A12" s="122"/>
      <c r="B12" s="1325" t="s">
        <v>454</v>
      </c>
      <c r="C12" s="1326"/>
      <c r="D12" s="1327"/>
      <c r="E12" s="1337"/>
      <c r="F12" s="1338"/>
      <c r="G12" s="1339"/>
      <c r="H12" s="205"/>
      <c r="I12" s="759" t="s">
        <v>1902</v>
      </c>
      <c r="J12" s="768"/>
      <c r="K12" s="122"/>
      <c r="L12" s="122"/>
      <c r="N12" s="441"/>
      <c r="O12" s="441"/>
      <c r="P12" s="441" t="s">
        <v>1132</v>
      </c>
      <c r="Q12" s="441" t="s">
        <v>1519</v>
      </c>
      <c r="R12" s="441"/>
      <c r="S12" s="441"/>
      <c r="T12" s="441" t="s">
        <v>421</v>
      </c>
      <c r="U12" s="441"/>
      <c r="V12" s="441"/>
      <c r="W12" s="441"/>
      <c r="X12" s="441"/>
      <c r="Y12" s="441"/>
      <c r="Z12" s="441"/>
      <c r="AA12" s="441"/>
      <c r="AB12" s="441"/>
      <c r="AC12" s="441" t="s">
        <v>90</v>
      </c>
      <c r="AD12" s="441"/>
      <c r="AE12" s="441"/>
      <c r="AF12" s="441" t="s">
        <v>1181</v>
      </c>
      <c r="AG12" s="441"/>
      <c r="AH12" s="441"/>
      <c r="AI12" s="441" t="s">
        <v>512</v>
      </c>
      <c r="AJ12" s="441"/>
      <c r="AK12" s="441"/>
      <c r="AL12" s="441" t="s">
        <v>1573</v>
      </c>
      <c r="AM12" s="441"/>
      <c r="AN12" s="441"/>
      <c r="AO12" s="441"/>
      <c r="AP12" s="441"/>
      <c r="AQ12" s="441"/>
      <c r="AR12" s="441"/>
      <c r="AS12" s="441"/>
      <c r="AT12" s="441"/>
      <c r="AU12" s="441"/>
      <c r="AV12" s="441"/>
      <c r="AW12" s="441"/>
      <c r="AX12" s="441"/>
      <c r="AY12" s="441"/>
    </row>
    <row r="13" spans="1:51" ht="15" thickTop="1" thickBot="1">
      <c r="A13" s="122"/>
      <c r="B13" s="1325" t="s">
        <v>912</v>
      </c>
      <c r="C13" s="1326"/>
      <c r="D13" s="1327"/>
      <c r="E13" s="1337"/>
      <c r="F13" s="1338"/>
      <c r="G13" s="1339"/>
      <c r="H13" s="205"/>
      <c r="I13" s="143" t="s">
        <v>95</v>
      </c>
      <c r="J13" s="813"/>
      <c r="K13" s="122"/>
      <c r="L13" s="122"/>
      <c r="N13" s="441"/>
      <c r="O13" s="441"/>
      <c r="P13" s="441"/>
      <c r="Q13" s="441" t="s">
        <v>1520</v>
      </c>
      <c r="R13" s="441"/>
      <c r="S13" s="441"/>
      <c r="T13" s="441" t="s">
        <v>422</v>
      </c>
      <c r="U13" s="441"/>
      <c r="V13" s="441"/>
      <c r="W13" s="441"/>
      <c r="X13" s="441"/>
      <c r="Y13" s="441"/>
      <c r="Z13" s="441"/>
      <c r="AA13" s="441"/>
      <c r="AB13" s="441"/>
      <c r="AC13" s="441" t="s">
        <v>80</v>
      </c>
      <c r="AD13" s="441"/>
      <c r="AE13" s="441"/>
      <c r="AF13" s="441"/>
      <c r="AG13" s="441"/>
      <c r="AH13" s="441"/>
      <c r="AI13" s="441" t="s">
        <v>513</v>
      </c>
      <c r="AJ13" s="441"/>
      <c r="AK13" s="441"/>
      <c r="AL13" s="441" t="s">
        <v>80</v>
      </c>
      <c r="AM13" s="441"/>
      <c r="AN13" s="441"/>
      <c r="AO13" s="441"/>
      <c r="AP13" s="441"/>
      <c r="AQ13" s="441"/>
      <c r="AR13" s="441"/>
      <c r="AS13" s="441"/>
      <c r="AT13" s="441"/>
      <c r="AU13" s="441"/>
      <c r="AV13" s="441"/>
      <c r="AW13" s="441"/>
      <c r="AX13" s="441"/>
      <c r="AY13" s="441"/>
    </row>
    <row r="14" spans="1:51" ht="14" thickTop="1">
      <c r="A14" s="122"/>
      <c r="B14" s="1325" t="s">
        <v>1629</v>
      </c>
      <c r="C14" s="1326"/>
      <c r="D14" s="1327"/>
      <c r="E14" s="1337"/>
      <c r="F14" s="1338"/>
      <c r="G14" s="1339"/>
      <c r="H14" s="205"/>
      <c r="I14" s="760" t="s">
        <v>1906</v>
      </c>
      <c r="J14" s="765"/>
      <c r="K14" s="122"/>
      <c r="L14" s="122"/>
      <c r="N14" s="441"/>
      <c r="O14" s="441"/>
      <c r="P14" s="441"/>
      <c r="Q14" s="441" t="s">
        <v>1521</v>
      </c>
      <c r="R14" s="441"/>
      <c r="S14" s="441"/>
      <c r="T14" s="441" t="s">
        <v>423</v>
      </c>
      <c r="U14" s="441"/>
      <c r="V14" s="441"/>
      <c r="W14" s="441"/>
      <c r="X14" s="441"/>
      <c r="Y14" s="441"/>
      <c r="Z14" s="441"/>
      <c r="AA14" s="441"/>
      <c r="AB14" s="441"/>
      <c r="AC14" s="441"/>
      <c r="AD14" s="441"/>
      <c r="AE14" s="441"/>
      <c r="AF14" s="441"/>
      <c r="AG14" s="441"/>
      <c r="AH14" s="441"/>
      <c r="AI14" s="441" t="s">
        <v>1640</v>
      </c>
      <c r="AJ14" s="441"/>
      <c r="AK14" s="441"/>
      <c r="AL14" s="441"/>
      <c r="AM14" s="441"/>
      <c r="AN14" s="441"/>
      <c r="AO14" s="441"/>
      <c r="AP14" s="441"/>
      <c r="AQ14" s="441"/>
      <c r="AR14" s="441"/>
      <c r="AS14" s="441"/>
      <c r="AT14" s="441"/>
      <c r="AU14" s="441"/>
      <c r="AV14" s="441"/>
      <c r="AW14" s="441"/>
      <c r="AX14" s="441"/>
      <c r="AY14" s="441"/>
    </row>
    <row r="15" spans="1:51">
      <c r="A15" s="122"/>
      <c r="B15" s="1325" t="s">
        <v>1896</v>
      </c>
      <c r="C15" s="1326"/>
      <c r="D15" s="1327"/>
      <c r="E15" s="1337"/>
      <c r="F15" s="1338"/>
      <c r="G15" s="1339"/>
      <c r="H15" s="205"/>
      <c r="I15" s="761" t="s">
        <v>1905</v>
      </c>
      <c r="J15" s="766"/>
      <c r="K15" s="122"/>
      <c r="L15" s="122"/>
      <c r="N15" s="441"/>
      <c r="O15" s="441"/>
      <c r="P15" s="441"/>
      <c r="Q15" s="441" t="s">
        <v>78</v>
      </c>
      <c r="R15" s="441"/>
      <c r="S15" s="441"/>
      <c r="T15" s="441" t="s">
        <v>424</v>
      </c>
      <c r="U15" s="441"/>
      <c r="V15" s="441"/>
      <c r="W15" s="860"/>
      <c r="X15" s="441"/>
      <c r="Y15" s="441"/>
      <c r="Z15" s="441"/>
      <c r="AA15" s="441"/>
      <c r="AB15" s="441"/>
      <c r="AC15" s="441"/>
      <c r="AD15" s="441"/>
      <c r="AE15" s="441"/>
      <c r="AF15" s="441"/>
      <c r="AG15" s="441"/>
      <c r="AH15" s="441"/>
      <c r="AI15" s="441" t="s">
        <v>1641</v>
      </c>
      <c r="AJ15" s="441"/>
      <c r="AK15" s="441"/>
      <c r="AL15" s="441"/>
      <c r="AM15" s="441"/>
      <c r="AN15" s="441"/>
      <c r="AO15" s="441"/>
      <c r="AP15" s="441"/>
      <c r="AQ15" s="441"/>
      <c r="AR15" s="441"/>
      <c r="AS15" s="441"/>
      <c r="AT15" s="441"/>
      <c r="AU15" s="441"/>
      <c r="AV15" s="441"/>
      <c r="AW15" s="441"/>
      <c r="AX15" s="441"/>
      <c r="AY15" s="441"/>
    </row>
    <row r="16" spans="1:51">
      <c r="A16" s="122"/>
      <c r="B16" s="1325" t="s">
        <v>913</v>
      </c>
      <c r="C16" s="1326"/>
      <c r="D16" s="1327"/>
      <c r="E16" s="1337"/>
      <c r="F16" s="1338"/>
      <c r="G16" s="1339"/>
      <c r="H16" s="205"/>
      <c r="I16" s="761" t="s">
        <v>1904</v>
      </c>
      <c r="J16" s="766"/>
      <c r="K16" s="122"/>
      <c r="L16" s="122"/>
      <c r="N16" s="441"/>
      <c r="O16" s="441"/>
      <c r="P16" s="441"/>
      <c r="Q16" s="441" t="s">
        <v>1134</v>
      </c>
      <c r="R16" s="441"/>
      <c r="S16" s="441"/>
      <c r="T16" s="854" t="s">
        <v>425</v>
      </c>
      <c r="U16" s="441"/>
      <c r="V16" s="441"/>
      <c r="W16" s="860"/>
      <c r="X16" s="441"/>
      <c r="Y16" s="441"/>
      <c r="Z16" s="441"/>
      <c r="AA16" s="441"/>
      <c r="AB16" s="441"/>
      <c r="AC16" s="441"/>
      <c r="AD16" s="441"/>
      <c r="AE16" s="441"/>
      <c r="AF16" s="441"/>
      <c r="AG16" s="441"/>
      <c r="AH16" s="441"/>
      <c r="AI16" s="441" t="s">
        <v>1642</v>
      </c>
      <c r="AJ16" s="441"/>
      <c r="AK16" s="441"/>
      <c r="AL16" s="441"/>
      <c r="AM16" s="441"/>
      <c r="AN16" s="441"/>
      <c r="AO16" s="441"/>
      <c r="AP16" s="441"/>
      <c r="AQ16" s="441"/>
      <c r="AR16" s="441"/>
      <c r="AS16" s="441"/>
      <c r="AT16" s="441"/>
      <c r="AU16" s="441"/>
      <c r="AV16" s="441"/>
      <c r="AW16" s="441"/>
      <c r="AX16" s="441"/>
      <c r="AY16" s="441"/>
    </row>
    <row r="17" spans="1:51">
      <c r="A17" s="122"/>
      <c r="B17" s="1325" t="s">
        <v>914</v>
      </c>
      <c r="C17" s="1326"/>
      <c r="D17" s="1327"/>
      <c r="E17" s="824"/>
      <c r="F17" s="822"/>
      <c r="G17" s="823"/>
      <c r="H17" s="205"/>
      <c r="I17" s="761" t="s">
        <v>1903</v>
      </c>
      <c r="J17" s="766"/>
      <c r="K17" s="122"/>
      <c r="L17" s="122"/>
      <c r="N17" s="441"/>
      <c r="O17" s="441"/>
      <c r="P17" s="441"/>
      <c r="Q17" s="441" t="s">
        <v>1135</v>
      </c>
      <c r="R17" s="441"/>
      <c r="S17" s="441"/>
      <c r="T17" s="441" t="s">
        <v>426</v>
      </c>
      <c r="U17" s="441"/>
      <c r="V17" s="441"/>
      <c r="W17" s="441"/>
      <c r="X17" s="441"/>
      <c r="Y17" s="441"/>
      <c r="Z17" s="441"/>
      <c r="AA17" s="441"/>
      <c r="AB17" s="441"/>
      <c r="AC17" s="441"/>
      <c r="AD17" s="441"/>
      <c r="AE17" s="441"/>
      <c r="AF17" s="441"/>
      <c r="AG17" s="441"/>
      <c r="AH17" s="441"/>
      <c r="AI17" s="441" t="s">
        <v>1643</v>
      </c>
      <c r="AJ17" s="441"/>
      <c r="AK17" s="441"/>
      <c r="AL17" s="441"/>
      <c r="AM17" s="441"/>
      <c r="AN17" s="441"/>
      <c r="AO17" s="441"/>
      <c r="AP17" s="441"/>
      <c r="AQ17" s="441"/>
      <c r="AR17" s="441"/>
      <c r="AS17" s="441"/>
      <c r="AT17" s="441"/>
      <c r="AU17" s="441"/>
      <c r="AV17" s="441"/>
      <c r="AW17" s="441"/>
      <c r="AX17" s="441"/>
      <c r="AY17" s="441"/>
    </row>
    <row r="18" spans="1:51">
      <c r="A18" s="122"/>
      <c r="B18" s="1325" t="s">
        <v>915</v>
      </c>
      <c r="C18" s="1326"/>
      <c r="D18" s="1327"/>
      <c r="E18" s="824"/>
      <c r="F18" s="822"/>
      <c r="G18" s="823"/>
      <c r="H18" s="205"/>
      <c r="I18" s="761" t="s">
        <v>1907</v>
      </c>
      <c r="J18" s="766"/>
      <c r="K18" s="122"/>
      <c r="L18" s="122"/>
      <c r="N18" s="441"/>
      <c r="O18" s="441"/>
      <c r="P18" s="441"/>
      <c r="Q18" s="441" t="s">
        <v>1136</v>
      </c>
      <c r="R18" s="441"/>
      <c r="S18" s="441"/>
      <c r="T18" s="441" t="s">
        <v>417</v>
      </c>
      <c r="U18" s="441"/>
      <c r="V18" s="441"/>
      <c r="W18" s="441"/>
      <c r="X18" s="441"/>
      <c r="Y18" s="441"/>
      <c r="Z18" s="441"/>
      <c r="AA18" s="441"/>
      <c r="AB18" s="441"/>
      <c r="AC18" s="441"/>
      <c r="AD18" s="441"/>
      <c r="AE18" s="441"/>
      <c r="AF18" s="441"/>
      <c r="AG18" s="441"/>
      <c r="AH18" s="441"/>
      <c r="AI18" s="441" t="s">
        <v>1644</v>
      </c>
      <c r="AJ18" s="441"/>
      <c r="AK18" s="441"/>
      <c r="AL18" s="441"/>
      <c r="AM18" s="441"/>
      <c r="AN18" s="441"/>
      <c r="AO18" s="441"/>
      <c r="AP18" s="441"/>
      <c r="AQ18" s="441"/>
      <c r="AR18" s="441"/>
      <c r="AS18" s="441"/>
      <c r="AT18" s="441"/>
      <c r="AU18" s="441"/>
      <c r="AV18" s="441"/>
      <c r="AW18" s="441"/>
      <c r="AX18" s="441"/>
      <c r="AY18" s="441"/>
    </row>
    <row r="19" spans="1:51">
      <c r="A19" s="122"/>
      <c r="B19" s="1325" t="s">
        <v>916</v>
      </c>
      <c r="C19" s="1326"/>
      <c r="D19" s="1327"/>
      <c r="E19" s="1346"/>
      <c r="F19" s="1338"/>
      <c r="G19" s="1339"/>
      <c r="H19" s="205"/>
      <c r="I19" s="761" t="s">
        <v>1908</v>
      </c>
      <c r="J19" s="766"/>
      <c r="K19" s="122"/>
      <c r="L19" s="122"/>
      <c r="N19" s="441"/>
      <c r="O19" s="441"/>
      <c r="P19" s="441"/>
      <c r="Q19" s="441" t="s">
        <v>1413</v>
      </c>
      <c r="R19" s="441"/>
      <c r="S19" s="441"/>
      <c r="T19" s="441" t="s">
        <v>427</v>
      </c>
      <c r="U19" s="441"/>
      <c r="V19" s="441"/>
      <c r="W19" s="441"/>
      <c r="X19" s="441"/>
      <c r="Y19" s="441"/>
      <c r="Z19" s="441"/>
      <c r="AA19" s="441"/>
      <c r="AB19" s="441"/>
      <c r="AC19" s="441"/>
      <c r="AD19" s="441"/>
      <c r="AE19" s="441"/>
      <c r="AF19" s="441"/>
      <c r="AG19" s="441"/>
      <c r="AH19" s="441"/>
      <c r="AI19" s="441" t="s">
        <v>1645</v>
      </c>
      <c r="AJ19" s="441"/>
      <c r="AK19" s="441"/>
      <c r="AL19" s="441"/>
      <c r="AM19" s="441"/>
      <c r="AN19" s="441"/>
      <c r="AO19" s="441"/>
      <c r="AP19" s="441"/>
      <c r="AQ19" s="441"/>
      <c r="AR19" s="441"/>
      <c r="AS19" s="441"/>
      <c r="AT19" s="441"/>
      <c r="AU19" s="441"/>
      <c r="AV19" s="441"/>
      <c r="AW19" s="441"/>
      <c r="AX19" s="441"/>
      <c r="AY19" s="441"/>
    </row>
    <row r="20" spans="1:51">
      <c r="A20" s="122"/>
      <c r="B20" s="1343" t="s">
        <v>917</v>
      </c>
      <c r="C20" s="1344"/>
      <c r="D20" s="1345"/>
      <c r="E20" s="1340"/>
      <c r="F20" s="1341"/>
      <c r="G20" s="1342"/>
      <c r="H20" s="205"/>
      <c r="I20" s="761" t="s">
        <v>1909</v>
      </c>
      <c r="J20" s="766"/>
      <c r="K20" s="122"/>
      <c r="L20" s="207"/>
      <c r="M20" s="208"/>
      <c r="N20" s="441"/>
      <c r="O20" s="441"/>
      <c r="P20" s="441"/>
      <c r="Q20" s="441"/>
      <c r="R20" s="441"/>
      <c r="S20" s="441"/>
      <c r="T20" s="441" t="s">
        <v>428</v>
      </c>
      <c r="U20" s="441"/>
      <c r="V20" s="441"/>
      <c r="W20" s="441"/>
      <c r="X20" s="441"/>
      <c r="Y20" s="441"/>
      <c r="Z20" s="441"/>
      <c r="AA20" s="441"/>
      <c r="AB20" s="441"/>
      <c r="AC20" s="441"/>
      <c r="AD20" s="441"/>
      <c r="AE20" s="441"/>
      <c r="AF20" s="441"/>
      <c r="AG20" s="441"/>
      <c r="AH20" s="441"/>
      <c r="AI20" s="441" t="s">
        <v>1646</v>
      </c>
      <c r="AJ20" s="441"/>
      <c r="AK20" s="441"/>
      <c r="AL20" s="441"/>
      <c r="AM20" s="441"/>
      <c r="AN20" s="441"/>
      <c r="AO20" s="441"/>
      <c r="AP20" s="441"/>
      <c r="AQ20" s="441"/>
      <c r="AR20" s="441"/>
      <c r="AS20" s="441"/>
      <c r="AT20" s="441"/>
      <c r="AU20" s="441"/>
      <c r="AV20" s="441"/>
      <c r="AW20" s="441"/>
      <c r="AX20" s="441"/>
      <c r="AY20" s="441"/>
    </row>
    <row r="21" spans="1:51">
      <c r="A21" s="122"/>
      <c r="B21" s="1343" t="s">
        <v>452</v>
      </c>
      <c r="C21" s="1344"/>
      <c r="D21" s="1345"/>
      <c r="E21" s="1340"/>
      <c r="F21" s="1341"/>
      <c r="G21" s="1342"/>
      <c r="H21" s="209">
        <f>IF(E21&gt;0,1,0)</f>
        <v>0</v>
      </c>
      <c r="I21" s="762" t="s">
        <v>1910</v>
      </c>
      <c r="J21" s="769">
        <f>SUM(J14:J20)</f>
        <v>0</v>
      </c>
      <c r="K21" s="122"/>
      <c r="L21" s="207"/>
      <c r="M21" s="208"/>
      <c r="N21" s="441"/>
      <c r="O21" s="441"/>
      <c r="P21" s="441"/>
      <c r="Q21" s="441"/>
      <c r="R21" s="441"/>
      <c r="S21" s="441"/>
      <c r="T21" s="441"/>
      <c r="U21" s="441"/>
      <c r="V21" s="441"/>
      <c r="W21" s="441"/>
      <c r="X21" s="441"/>
      <c r="Y21" s="441"/>
      <c r="Z21" s="441"/>
      <c r="AA21" s="441"/>
      <c r="AB21" s="441"/>
      <c r="AC21" s="441"/>
      <c r="AD21" s="441"/>
      <c r="AE21" s="441"/>
      <c r="AF21" s="441"/>
      <c r="AG21" s="441"/>
      <c r="AH21" s="441"/>
      <c r="AI21" s="441" t="s">
        <v>1647</v>
      </c>
      <c r="AJ21" s="441"/>
      <c r="AK21" s="441"/>
      <c r="AL21" s="441"/>
      <c r="AM21" s="441"/>
      <c r="AN21" s="441"/>
      <c r="AO21" s="441"/>
      <c r="AP21" s="441"/>
      <c r="AQ21" s="441"/>
      <c r="AR21" s="441"/>
      <c r="AS21" s="441"/>
      <c r="AT21" s="441"/>
      <c r="AU21" s="441"/>
      <c r="AV21" s="441"/>
      <c r="AW21" s="441"/>
      <c r="AX21" s="441"/>
      <c r="AY21" s="441"/>
    </row>
    <row r="22" spans="1:51">
      <c r="A22" s="122"/>
      <c r="B22" s="1343" t="s">
        <v>2032</v>
      </c>
      <c r="C22" s="1344"/>
      <c r="D22" s="1345"/>
      <c r="E22" s="1340"/>
      <c r="F22" s="1341"/>
      <c r="G22" s="1342"/>
      <c r="H22" s="209"/>
      <c r="I22" s="1147" t="str">
        <f>IF(E22&gt;0,"   Designated Disaster Area","")</f>
        <v/>
      </c>
      <c r="J22" s="1149"/>
      <c r="K22" s="1148" t="s">
        <v>2025</v>
      </c>
      <c r="L22" s="207"/>
      <c r="M22" s="208"/>
      <c r="N22" s="441"/>
      <c r="O22" s="441"/>
      <c r="P22" s="441"/>
      <c r="Q22" s="441"/>
      <c r="R22" s="441"/>
      <c r="S22" s="441"/>
      <c r="T22" s="441"/>
      <c r="U22" s="441"/>
      <c r="V22" s="441"/>
      <c r="W22" s="441"/>
      <c r="X22" s="441"/>
      <c r="Y22" s="441"/>
      <c r="Z22" s="441"/>
      <c r="AA22" s="441"/>
      <c r="AB22" s="441"/>
      <c r="AC22" s="441"/>
      <c r="AD22" s="441"/>
      <c r="AE22" s="441"/>
      <c r="AF22" s="441"/>
      <c r="AG22" s="441"/>
      <c r="AH22" s="441"/>
      <c r="AI22" s="441"/>
      <c r="AJ22" s="441"/>
      <c r="AK22" s="441"/>
      <c r="AL22" s="441"/>
      <c r="AM22" s="441"/>
      <c r="AN22" s="441"/>
      <c r="AO22" s="441"/>
      <c r="AP22" s="441"/>
      <c r="AQ22" s="441"/>
      <c r="AR22" s="441"/>
      <c r="AS22" s="441"/>
      <c r="AT22" s="441"/>
      <c r="AU22" s="441"/>
      <c r="AV22" s="441"/>
      <c r="AW22" s="441"/>
      <c r="AX22" s="441"/>
      <c r="AY22" s="441"/>
    </row>
    <row r="23" spans="1:51" ht="14" thickBot="1">
      <c r="A23" s="122"/>
      <c r="B23" s="1325" t="s">
        <v>455</v>
      </c>
      <c r="C23" s="1326"/>
      <c r="D23" s="1327"/>
      <c r="E23" s="1328"/>
      <c r="F23" s="1329"/>
      <c r="G23" s="1330"/>
      <c r="H23" s="205"/>
      <c r="I23" s="657"/>
      <c r="J23" s="122"/>
      <c r="K23" s="1148" t="s">
        <v>2026</v>
      </c>
      <c r="L23" s="207"/>
      <c r="M23" s="208"/>
      <c r="N23" s="441"/>
      <c r="O23" s="441"/>
      <c r="P23" s="441"/>
      <c r="Q23" s="441"/>
      <c r="R23" s="441"/>
      <c r="S23" s="441"/>
      <c r="T23" s="441"/>
      <c r="U23" s="441"/>
      <c r="V23" s="441"/>
      <c r="W23" s="441"/>
      <c r="X23" s="441"/>
      <c r="Y23" s="441"/>
      <c r="Z23" s="441"/>
      <c r="AA23" s="441"/>
      <c r="AB23" s="441"/>
      <c r="AC23" s="441"/>
      <c r="AD23" s="441"/>
      <c r="AE23" s="441"/>
      <c r="AF23" s="441"/>
      <c r="AG23" s="441"/>
      <c r="AH23" s="441"/>
      <c r="AI23" s="441" t="s">
        <v>1648</v>
      </c>
      <c r="AJ23" s="441"/>
      <c r="AK23" s="441"/>
      <c r="AL23" s="441"/>
      <c r="AM23" s="441"/>
      <c r="AN23" s="441"/>
      <c r="AO23" s="441"/>
      <c r="AP23" s="441"/>
      <c r="AQ23" s="441"/>
      <c r="AR23" s="441"/>
      <c r="AS23" s="441"/>
      <c r="AT23" s="441"/>
      <c r="AU23" s="441"/>
      <c r="AV23" s="441"/>
      <c r="AW23" s="441"/>
      <c r="AX23" s="441"/>
      <c r="AY23" s="441"/>
    </row>
    <row r="24" spans="1:51" ht="15" thickTop="1" thickBot="1">
      <c r="A24" s="122"/>
      <c r="B24" s="1325" t="s">
        <v>167</v>
      </c>
      <c r="C24" s="1326"/>
      <c r="D24" s="1327"/>
      <c r="E24" s="1347"/>
      <c r="F24" s="1348"/>
      <c r="G24" s="1349"/>
      <c r="H24" s="122"/>
      <c r="I24" s="210" t="s">
        <v>378</v>
      </c>
      <c r="J24" s="770"/>
      <c r="K24" s="211"/>
      <c r="L24" s="207"/>
      <c r="M24" s="208"/>
      <c r="N24" s="441"/>
      <c r="O24" s="441"/>
      <c r="P24" s="441"/>
      <c r="Q24" s="441"/>
      <c r="R24" s="441"/>
      <c r="S24" s="441"/>
      <c r="T24" s="441"/>
      <c r="U24" s="441"/>
      <c r="V24" s="441"/>
      <c r="W24" s="441"/>
      <c r="X24" s="441"/>
      <c r="Y24" s="441"/>
      <c r="Z24" s="441"/>
      <c r="AA24" s="441"/>
      <c r="AB24" s="441"/>
      <c r="AC24" s="441"/>
      <c r="AD24" s="441"/>
      <c r="AE24" s="441"/>
      <c r="AF24" s="441"/>
      <c r="AG24" s="441"/>
      <c r="AH24" s="441"/>
      <c r="AI24" s="441" t="s">
        <v>1649</v>
      </c>
      <c r="AJ24" s="441"/>
      <c r="AK24" s="441"/>
      <c r="AL24" s="441"/>
      <c r="AM24" s="441"/>
      <c r="AN24" s="441"/>
      <c r="AO24" s="441"/>
      <c r="AP24" s="441"/>
      <c r="AQ24" s="441"/>
      <c r="AR24" s="441"/>
      <c r="AS24" s="441"/>
      <c r="AT24" s="441"/>
      <c r="AU24" s="441"/>
      <c r="AV24" s="441"/>
      <c r="AW24" s="441"/>
      <c r="AX24" s="441"/>
      <c r="AY24" s="441"/>
    </row>
    <row r="25" spans="1:51" ht="14" thickTop="1">
      <c r="A25" s="122"/>
      <c r="B25" s="1325" t="s">
        <v>1030</v>
      </c>
      <c r="C25" s="1326"/>
      <c r="D25" s="1327"/>
      <c r="E25" s="1337"/>
      <c r="F25" s="1338"/>
      <c r="G25" s="1339"/>
      <c r="H25" s="206">
        <f>IF('Secondary Input'!E22="Yes",1,(IF('Secondary Input'!E12="yes",1,0)))</f>
        <v>0</v>
      </c>
      <c r="I25" s="763" t="s">
        <v>1911</v>
      </c>
      <c r="J25" s="771"/>
      <c r="K25" s="122"/>
      <c r="L25" s="207"/>
      <c r="M25" s="208"/>
      <c r="N25" s="441"/>
      <c r="O25" s="441"/>
      <c r="P25" s="441"/>
      <c r="Q25" s="441"/>
      <c r="R25" s="441"/>
      <c r="S25" s="441"/>
      <c r="T25" s="441"/>
      <c r="U25" s="441"/>
      <c r="V25" s="441"/>
      <c r="W25" s="441"/>
      <c r="X25" s="441"/>
      <c r="Y25" s="441"/>
      <c r="Z25" s="441"/>
      <c r="AA25" s="441"/>
      <c r="AB25" s="441"/>
      <c r="AC25" s="441"/>
      <c r="AD25" s="441"/>
      <c r="AE25" s="441"/>
      <c r="AF25" s="441"/>
      <c r="AG25" s="441"/>
      <c r="AH25" s="441"/>
      <c r="AI25" s="441" t="s">
        <v>866</v>
      </c>
      <c r="AJ25" s="441"/>
      <c r="AK25" s="441"/>
      <c r="AL25" s="441"/>
      <c r="AM25" s="441"/>
      <c r="AN25" s="441"/>
      <c r="AO25" s="441"/>
      <c r="AP25" s="441"/>
      <c r="AQ25" s="441"/>
      <c r="AR25" s="441"/>
      <c r="AS25" s="441"/>
      <c r="AT25" s="441"/>
      <c r="AU25" s="441"/>
      <c r="AV25" s="441"/>
      <c r="AW25" s="441"/>
      <c r="AX25" s="441"/>
      <c r="AY25" s="441"/>
    </row>
    <row r="26" spans="1:51">
      <c r="A26" s="122"/>
      <c r="B26" s="1325" t="s">
        <v>453</v>
      </c>
      <c r="C26" s="1326"/>
      <c r="D26" s="1327"/>
      <c r="E26" s="1337"/>
      <c r="F26" s="1338"/>
      <c r="G26" s="1339"/>
      <c r="H26" s="122"/>
      <c r="I26" s="764" t="s">
        <v>1912</v>
      </c>
      <c r="J26" s="772"/>
      <c r="K26" s="122"/>
      <c r="L26" s="207"/>
      <c r="M26" s="208"/>
      <c r="N26" s="441"/>
      <c r="O26" s="441"/>
      <c r="P26" s="441"/>
      <c r="Q26" s="441"/>
      <c r="R26" s="441"/>
      <c r="S26" s="441"/>
      <c r="T26" s="441"/>
      <c r="U26" s="441"/>
      <c r="V26" s="441"/>
      <c r="W26" s="441"/>
      <c r="X26" s="441"/>
      <c r="Y26" s="441"/>
      <c r="Z26" s="441"/>
      <c r="AA26" s="441"/>
      <c r="AB26" s="441"/>
      <c r="AC26" s="441"/>
      <c r="AD26" s="441"/>
      <c r="AE26" s="441"/>
      <c r="AF26" s="441"/>
      <c r="AG26" s="441"/>
      <c r="AH26" s="441"/>
      <c r="AI26" s="441" t="s">
        <v>867</v>
      </c>
      <c r="AJ26" s="441"/>
      <c r="AK26" s="441"/>
      <c r="AL26" s="441"/>
      <c r="AM26" s="441"/>
      <c r="AN26" s="441"/>
      <c r="AO26" s="441"/>
      <c r="AP26" s="441"/>
      <c r="AQ26" s="441"/>
      <c r="AR26" s="441"/>
      <c r="AS26" s="441"/>
      <c r="AT26" s="441"/>
      <c r="AU26" s="441"/>
      <c r="AV26" s="441"/>
      <c r="AW26" s="441"/>
      <c r="AX26" s="441"/>
      <c r="AY26" s="441"/>
    </row>
    <row r="27" spans="1:51">
      <c r="A27" s="122"/>
      <c r="B27" s="1325" t="s">
        <v>168</v>
      </c>
      <c r="C27" s="1326"/>
      <c r="D27" s="1327"/>
      <c r="E27" s="1347"/>
      <c r="F27" s="1348"/>
      <c r="G27" s="1349"/>
      <c r="H27" s="122"/>
      <c r="I27" s="764" t="s">
        <v>1913</v>
      </c>
      <c r="J27" s="772"/>
      <c r="K27" s="122"/>
      <c r="L27" s="207"/>
      <c r="M27" s="208"/>
      <c r="N27" s="441"/>
      <c r="O27" s="441"/>
      <c r="P27" s="441"/>
      <c r="Q27" s="441"/>
      <c r="R27" s="441"/>
      <c r="S27" s="441"/>
      <c r="T27" s="441"/>
      <c r="U27" s="441"/>
      <c r="V27" s="441"/>
      <c r="W27" s="441"/>
      <c r="X27" s="441"/>
      <c r="Y27" s="441"/>
      <c r="Z27" s="441"/>
      <c r="AA27" s="441"/>
      <c r="AB27" s="441"/>
      <c r="AC27" s="441"/>
      <c r="AD27" s="441"/>
      <c r="AE27" s="441"/>
      <c r="AF27" s="441"/>
      <c r="AG27" s="441"/>
      <c r="AH27" s="441"/>
      <c r="AI27" s="441" t="s">
        <v>868</v>
      </c>
      <c r="AJ27" s="441"/>
      <c r="AK27" s="441"/>
      <c r="AL27" s="441"/>
      <c r="AM27" s="441"/>
      <c r="AN27" s="441"/>
      <c r="AO27" s="441"/>
      <c r="AP27" s="441"/>
      <c r="AQ27" s="441"/>
      <c r="AR27" s="441"/>
      <c r="AS27" s="441"/>
      <c r="AT27" s="441"/>
      <c r="AU27" s="441"/>
      <c r="AV27" s="441"/>
      <c r="AW27" s="441"/>
      <c r="AX27" s="441"/>
      <c r="AY27" s="441"/>
    </row>
    <row r="28" spans="1:51" ht="21" customHeight="1">
      <c r="A28" s="122"/>
      <c r="B28" s="1324" t="str">
        <f>IF(credits&gt;1500000, " Please check limits in the QAP for the Maximum Amount of Tax Credits", "")</f>
        <v/>
      </c>
      <c r="C28" s="1324"/>
      <c r="D28" s="1324"/>
      <c r="E28" s="1324"/>
      <c r="F28" s="1324"/>
      <c r="G28" s="1324"/>
      <c r="H28" s="1324"/>
      <c r="I28" s="1324"/>
      <c r="J28" s="1324"/>
      <c r="K28" s="122"/>
      <c r="L28" s="207"/>
      <c r="M28" s="208"/>
      <c r="N28" s="441"/>
      <c r="O28" s="441"/>
      <c r="P28" s="441"/>
      <c r="Q28" s="441"/>
      <c r="R28" s="441"/>
      <c r="S28" s="441"/>
      <c r="T28" s="441"/>
      <c r="U28" s="441"/>
      <c r="V28" s="441"/>
      <c r="W28" s="441"/>
      <c r="X28" s="441"/>
      <c r="Y28" s="441"/>
      <c r="Z28" s="441"/>
      <c r="AA28" s="441"/>
      <c r="AB28" s="441"/>
      <c r="AC28" s="441"/>
      <c r="AD28" s="441"/>
      <c r="AE28" s="441"/>
      <c r="AF28" s="441"/>
      <c r="AG28" s="441"/>
      <c r="AH28" s="441"/>
      <c r="AI28" s="441" t="s">
        <v>1650</v>
      </c>
      <c r="AJ28" s="441"/>
      <c r="AK28" s="441"/>
      <c r="AL28" s="441"/>
      <c r="AM28" s="441"/>
      <c r="AN28" s="441"/>
      <c r="AO28" s="441"/>
      <c r="AP28" s="441"/>
      <c r="AQ28" s="441"/>
      <c r="AR28" s="441"/>
      <c r="AS28" s="441"/>
      <c r="AT28" s="441"/>
      <c r="AU28" s="441"/>
      <c r="AV28" s="441"/>
      <c r="AW28" s="441"/>
      <c r="AX28" s="441"/>
      <c r="AY28" s="441"/>
    </row>
    <row r="29" spans="1:51">
      <c r="A29" s="122"/>
      <c r="B29" s="122"/>
      <c r="C29" s="122"/>
      <c r="D29" s="122"/>
      <c r="E29" s="122"/>
      <c r="F29" s="122"/>
      <c r="G29" s="122"/>
      <c r="H29" s="122"/>
      <c r="I29" s="122"/>
      <c r="J29" s="122"/>
      <c r="K29" s="122"/>
      <c r="L29" s="207"/>
      <c r="M29" s="208"/>
      <c r="N29" s="441"/>
      <c r="O29" s="441"/>
      <c r="P29" s="441"/>
      <c r="Q29" s="441"/>
      <c r="R29" s="441"/>
      <c r="S29" s="441"/>
      <c r="T29" s="441"/>
      <c r="U29" s="441"/>
      <c r="V29" s="441"/>
      <c r="W29" s="441"/>
      <c r="X29" s="441"/>
      <c r="Y29" s="441"/>
      <c r="Z29" s="441"/>
      <c r="AA29" s="441"/>
      <c r="AB29" s="441"/>
      <c r="AC29" s="441"/>
      <c r="AD29" s="441"/>
      <c r="AE29" s="441"/>
      <c r="AF29" s="441"/>
      <c r="AG29" s="441"/>
      <c r="AH29" s="441"/>
      <c r="AI29" s="441" t="s">
        <v>1651</v>
      </c>
      <c r="AJ29" s="441"/>
      <c r="AK29" s="441"/>
      <c r="AL29" s="441"/>
      <c r="AM29" s="441"/>
      <c r="AN29" s="441"/>
      <c r="AO29" s="441"/>
      <c r="AP29" s="441"/>
      <c r="AQ29" s="441"/>
      <c r="AR29" s="441"/>
      <c r="AS29" s="441"/>
      <c r="AT29" s="441"/>
      <c r="AU29" s="441"/>
      <c r="AV29" s="441"/>
      <c r="AW29" s="441"/>
      <c r="AX29" s="441"/>
      <c r="AY29" s="441"/>
    </row>
    <row r="30" spans="1:51">
      <c r="A30" s="122"/>
      <c r="B30" s="122"/>
      <c r="C30" s="122"/>
      <c r="D30" s="122"/>
      <c r="E30" s="122"/>
      <c r="F30" s="122"/>
      <c r="G30" s="122"/>
      <c r="H30" s="122"/>
      <c r="I30" s="122"/>
      <c r="J30" s="122"/>
      <c r="K30" s="122"/>
      <c r="L30" s="207"/>
      <c r="M30" s="208"/>
      <c r="N30" s="441"/>
      <c r="O30" s="441"/>
      <c r="P30" s="441"/>
      <c r="Q30" s="441"/>
      <c r="R30" s="441"/>
      <c r="S30" s="441"/>
      <c r="T30" s="441"/>
      <c r="U30" s="441"/>
      <c r="V30" s="441"/>
      <c r="W30" s="441"/>
      <c r="X30" s="441"/>
      <c r="Y30" s="441"/>
      <c r="Z30" s="441"/>
      <c r="AA30" s="441"/>
      <c r="AB30" s="441"/>
      <c r="AC30" s="441"/>
      <c r="AD30" s="441"/>
      <c r="AE30" s="441"/>
      <c r="AF30" s="441"/>
      <c r="AG30" s="441"/>
      <c r="AH30" s="441"/>
      <c r="AI30" s="441" t="s">
        <v>1652</v>
      </c>
      <c r="AJ30" s="441"/>
      <c r="AK30" s="441"/>
      <c r="AL30" s="441"/>
      <c r="AM30" s="441"/>
      <c r="AN30" s="441"/>
      <c r="AO30" s="441"/>
      <c r="AP30" s="441"/>
      <c r="AQ30" s="441"/>
      <c r="AR30" s="441"/>
      <c r="AS30" s="441"/>
      <c r="AT30" s="441"/>
      <c r="AU30" s="441"/>
      <c r="AV30" s="441"/>
      <c r="AW30" s="441"/>
      <c r="AX30" s="441"/>
      <c r="AY30" s="441"/>
    </row>
    <row r="31" spans="1:51">
      <c r="A31" s="122"/>
      <c r="B31" s="122"/>
      <c r="C31" s="122"/>
      <c r="D31" s="122"/>
      <c r="E31" s="122"/>
      <c r="F31" s="122"/>
      <c r="G31" s="122"/>
      <c r="H31" s="122"/>
      <c r="I31" s="122"/>
      <c r="J31" s="122"/>
      <c r="K31" s="122"/>
      <c r="L31" s="207"/>
      <c r="M31" s="208"/>
      <c r="N31" s="441"/>
      <c r="O31" s="441"/>
      <c r="P31" s="441"/>
      <c r="Q31" s="441"/>
      <c r="R31" s="441"/>
      <c r="S31" s="441"/>
      <c r="T31" s="441"/>
      <c r="U31" s="441"/>
      <c r="V31" s="441"/>
      <c r="W31" s="441"/>
      <c r="X31" s="441"/>
      <c r="Y31" s="441"/>
      <c r="Z31" s="441"/>
      <c r="AA31" s="441"/>
      <c r="AB31" s="441"/>
      <c r="AC31" s="441"/>
      <c r="AD31" s="441"/>
      <c r="AE31" s="441"/>
      <c r="AF31" s="441"/>
      <c r="AG31" s="441"/>
      <c r="AH31" s="441"/>
      <c r="AI31" s="441" t="s">
        <v>1653</v>
      </c>
      <c r="AJ31" s="441"/>
      <c r="AK31" s="441"/>
      <c r="AL31" s="441"/>
      <c r="AM31" s="441"/>
      <c r="AN31" s="441"/>
      <c r="AO31" s="441"/>
      <c r="AP31" s="441"/>
      <c r="AQ31" s="441"/>
      <c r="AR31" s="441"/>
      <c r="AS31" s="441"/>
      <c r="AT31" s="441"/>
      <c r="AU31" s="441"/>
      <c r="AV31" s="441"/>
      <c r="AW31" s="441"/>
      <c r="AX31" s="441"/>
      <c r="AY31" s="441"/>
    </row>
    <row r="32" spans="1:51">
      <c r="A32" s="122"/>
      <c r="B32" s="122"/>
      <c r="C32" s="122"/>
      <c r="D32" s="122"/>
      <c r="E32" s="122"/>
      <c r="F32" s="122"/>
      <c r="G32" s="122"/>
      <c r="H32" s="212"/>
      <c r="I32" s="193"/>
      <c r="J32" s="122"/>
      <c r="K32" s="122"/>
      <c r="L32" s="207"/>
      <c r="M32" s="208"/>
      <c r="N32" s="441"/>
      <c r="O32" s="441"/>
      <c r="P32" s="441"/>
      <c r="Q32" s="441"/>
      <c r="R32" s="441"/>
      <c r="S32" s="441"/>
      <c r="T32" s="441"/>
      <c r="U32" s="441"/>
      <c r="V32" s="441"/>
      <c r="W32" s="441"/>
      <c r="X32" s="441"/>
      <c r="Y32" s="441"/>
      <c r="Z32" s="441"/>
      <c r="AA32" s="441"/>
      <c r="AB32" s="441"/>
      <c r="AC32" s="441"/>
      <c r="AD32" s="441"/>
      <c r="AE32" s="441"/>
      <c r="AF32" s="441"/>
      <c r="AG32" s="441"/>
      <c r="AH32" s="441"/>
      <c r="AI32" s="441" t="s">
        <v>1654</v>
      </c>
      <c r="AJ32" s="441"/>
      <c r="AK32" s="441"/>
      <c r="AL32" s="441"/>
      <c r="AM32" s="441"/>
      <c r="AN32" s="441"/>
      <c r="AO32" s="441"/>
      <c r="AP32" s="441"/>
      <c r="AQ32" s="441"/>
      <c r="AR32" s="441"/>
      <c r="AS32" s="441"/>
      <c r="AT32" s="441"/>
      <c r="AU32" s="441"/>
      <c r="AV32" s="441"/>
      <c r="AW32" s="441"/>
      <c r="AX32" s="441"/>
      <c r="AY32" s="441"/>
    </row>
    <row r="33" spans="1:51">
      <c r="A33" s="122"/>
      <c r="B33" s="122"/>
      <c r="C33" s="122"/>
      <c r="D33" s="122"/>
      <c r="E33" s="122"/>
      <c r="F33" s="122"/>
      <c r="G33" s="122"/>
      <c r="H33" s="212"/>
      <c r="I33" s="193"/>
      <c r="J33" s="122"/>
      <c r="K33" s="122"/>
      <c r="L33" s="207"/>
      <c r="M33" s="208"/>
      <c r="N33" s="441"/>
      <c r="O33" s="441"/>
      <c r="P33" s="441"/>
      <c r="Q33" s="441"/>
      <c r="R33" s="441"/>
      <c r="S33" s="441"/>
      <c r="T33" s="441"/>
      <c r="U33" s="441"/>
      <c r="V33" s="441"/>
      <c r="W33" s="441"/>
      <c r="X33" s="441"/>
      <c r="Y33" s="441"/>
      <c r="Z33" s="441"/>
      <c r="AA33" s="441"/>
      <c r="AB33" s="441"/>
      <c r="AC33" s="441"/>
      <c r="AD33" s="441"/>
      <c r="AE33" s="441"/>
      <c r="AF33" s="441"/>
      <c r="AG33" s="441"/>
      <c r="AH33" s="441"/>
      <c r="AI33" s="441" t="s">
        <v>1655</v>
      </c>
      <c r="AJ33" s="441"/>
      <c r="AK33" s="441"/>
      <c r="AL33" s="441"/>
      <c r="AM33" s="441"/>
      <c r="AN33" s="441"/>
      <c r="AO33" s="441"/>
      <c r="AP33" s="441"/>
      <c r="AQ33" s="441"/>
      <c r="AR33" s="441"/>
      <c r="AS33" s="441"/>
      <c r="AT33" s="441"/>
      <c r="AU33" s="441"/>
      <c r="AV33" s="441"/>
      <c r="AW33" s="441"/>
      <c r="AX33" s="441"/>
      <c r="AY33" s="441"/>
    </row>
    <row r="34" spans="1:51">
      <c r="A34" s="122"/>
      <c r="B34" s="122"/>
      <c r="C34" s="122"/>
      <c r="D34" s="122"/>
      <c r="E34" s="122"/>
      <c r="F34" s="122"/>
      <c r="G34" s="122"/>
      <c r="H34" s="212"/>
      <c r="I34" s="193"/>
      <c r="J34" s="122"/>
      <c r="K34" s="122"/>
      <c r="L34" s="207"/>
      <c r="M34" s="208"/>
      <c r="N34" s="441"/>
      <c r="O34" s="441"/>
      <c r="P34" s="441"/>
      <c r="Q34" s="441"/>
      <c r="R34" s="441"/>
      <c r="S34" s="441"/>
      <c r="T34" s="441"/>
      <c r="U34" s="441"/>
      <c r="V34" s="441"/>
      <c r="W34" s="441"/>
      <c r="X34" s="441"/>
      <c r="Y34" s="441"/>
      <c r="Z34" s="441"/>
      <c r="AA34" s="441"/>
      <c r="AB34" s="441"/>
      <c r="AC34" s="441"/>
      <c r="AD34" s="441"/>
      <c r="AE34" s="441"/>
      <c r="AF34" s="441"/>
      <c r="AG34" s="441"/>
      <c r="AH34" s="441"/>
      <c r="AI34" s="441" t="s">
        <v>1656</v>
      </c>
      <c r="AJ34" s="441"/>
      <c r="AK34" s="441"/>
      <c r="AL34" s="441"/>
      <c r="AM34" s="441"/>
      <c r="AN34" s="441"/>
      <c r="AO34" s="441"/>
      <c r="AP34" s="441"/>
      <c r="AQ34" s="441"/>
      <c r="AR34" s="441"/>
      <c r="AS34" s="441"/>
      <c r="AT34" s="441"/>
      <c r="AU34" s="441"/>
      <c r="AV34" s="441"/>
      <c r="AW34" s="441"/>
      <c r="AX34" s="441"/>
      <c r="AY34" s="441"/>
    </row>
    <row r="35" spans="1:51">
      <c r="A35" s="122"/>
      <c r="B35" s="122"/>
      <c r="C35" s="122"/>
      <c r="D35" s="122"/>
      <c r="E35" s="122"/>
      <c r="F35" s="122"/>
      <c r="G35" s="122"/>
      <c r="H35" s="212"/>
      <c r="I35" s="193"/>
      <c r="J35" s="122"/>
      <c r="K35" s="122"/>
      <c r="L35" s="207"/>
      <c r="M35" s="208"/>
      <c r="N35" s="441"/>
      <c r="O35" s="441"/>
      <c r="P35" s="441"/>
      <c r="Q35" s="441"/>
      <c r="R35" s="441"/>
      <c r="S35" s="441"/>
      <c r="T35" s="441"/>
      <c r="U35" s="441"/>
      <c r="V35" s="441"/>
      <c r="W35" s="441"/>
      <c r="X35" s="441"/>
      <c r="Y35" s="441"/>
      <c r="Z35" s="441"/>
      <c r="AA35" s="441"/>
      <c r="AB35" s="441"/>
      <c r="AC35" s="441"/>
      <c r="AD35" s="441"/>
      <c r="AE35" s="441"/>
      <c r="AF35" s="441"/>
      <c r="AG35" s="441"/>
      <c r="AH35" s="441"/>
      <c r="AI35" s="441" t="s">
        <v>1657</v>
      </c>
      <c r="AJ35" s="441"/>
      <c r="AK35" s="441"/>
      <c r="AL35" s="441"/>
      <c r="AM35" s="441"/>
      <c r="AN35" s="441"/>
      <c r="AO35" s="441"/>
      <c r="AP35" s="441"/>
      <c r="AQ35" s="441"/>
      <c r="AR35" s="441"/>
      <c r="AS35" s="441"/>
      <c r="AT35" s="441"/>
      <c r="AU35" s="441"/>
      <c r="AV35" s="441"/>
      <c r="AW35" s="441"/>
      <c r="AX35" s="441"/>
      <c r="AY35" s="441"/>
    </row>
    <row r="36" spans="1:51">
      <c r="A36" s="122"/>
      <c r="B36" s="122"/>
      <c r="C36" s="122"/>
      <c r="D36" s="122"/>
      <c r="E36" s="122"/>
      <c r="F36" s="122"/>
      <c r="G36" s="122"/>
      <c r="H36" s="212"/>
      <c r="I36" s="193"/>
      <c r="J36" s="122"/>
      <c r="K36" s="122"/>
      <c r="L36" s="207"/>
      <c r="M36" s="208"/>
      <c r="N36" s="441"/>
      <c r="O36" s="441"/>
      <c r="P36" s="441"/>
      <c r="Q36" s="441"/>
      <c r="R36" s="441"/>
      <c r="S36" s="441"/>
      <c r="T36" s="441"/>
      <c r="U36" s="441"/>
      <c r="V36" s="441"/>
      <c r="W36" s="441"/>
      <c r="X36" s="441"/>
      <c r="Y36" s="441"/>
      <c r="Z36" s="441"/>
      <c r="AA36" s="441"/>
      <c r="AB36" s="441"/>
      <c r="AC36" s="441"/>
      <c r="AD36" s="441"/>
      <c r="AE36" s="441"/>
      <c r="AF36" s="441"/>
      <c r="AG36" s="441"/>
      <c r="AH36" s="441"/>
      <c r="AI36" s="441" t="s">
        <v>1397</v>
      </c>
      <c r="AJ36" s="441"/>
      <c r="AK36" s="441"/>
      <c r="AL36" s="441"/>
      <c r="AM36" s="441"/>
      <c r="AN36" s="441"/>
      <c r="AO36" s="441"/>
      <c r="AP36" s="441"/>
      <c r="AQ36" s="441"/>
      <c r="AR36" s="441"/>
      <c r="AS36" s="441"/>
      <c r="AT36" s="441"/>
      <c r="AU36" s="441"/>
      <c r="AV36" s="441"/>
      <c r="AW36" s="441"/>
      <c r="AX36" s="441"/>
      <c r="AY36" s="441"/>
    </row>
    <row r="37" spans="1:51">
      <c r="A37" s="122"/>
      <c r="B37" s="122"/>
      <c r="C37" s="122"/>
      <c r="D37" s="122"/>
      <c r="E37" s="122"/>
      <c r="F37" s="122"/>
      <c r="G37" s="122"/>
      <c r="H37" s="212"/>
      <c r="I37" s="193"/>
      <c r="J37" s="122"/>
      <c r="K37" s="207"/>
      <c r="L37" s="207"/>
      <c r="M37" s="208"/>
      <c r="N37" s="441"/>
      <c r="O37" s="441"/>
      <c r="P37" s="441"/>
      <c r="Q37" s="441"/>
      <c r="R37" s="441"/>
      <c r="S37" s="441"/>
      <c r="T37" s="441"/>
      <c r="U37" s="441"/>
      <c r="V37" s="441"/>
      <c r="W37" s="441"/>
      <c r="X37" s="441"/>
      <c r="Y37" s="441"/>
      <c r="Z37" s="441"/>
      <c r="AA37" s="441"/>
      <c r="AB37" s="441"/>
      <c r="AC37" s="441"/>
      <c r="AD37" s="441"/>
      <c r="AE37" s="441"/>
      <c r="AF37" s="441"/>
      <c r="AG37" s="441"/>
      <c r="AH37" s="441"/>
      <c r="AI37" s="441" t="s">
        <v>1398</v>
      </c>
      <c r="AJ37" s="441"/>
      <c r="AK37" s="441"/>
      <c r="AL37" s="441"/>
      <c r="AM37" s="441"/>
      <c r="AN37" s="441"/>
      <c r="AO37" s="441"/>
      <c r="AP37" s="441"/>
      <c r="AQ37" s="441"/>
      <c r="AR37" s="441"/>
      <c r="AS37" s="441"/>
      <c r="AT37" s="441"/>
      <c r="AU37" s="441"/>
      <c r="AV37" s="441"/>
      <c r="AW37" s="441"/>
      <c r="AX37" s="441"/>
      <c r="AY37" s="441"/>
    </row>
    <row r="38" spans="1:51">
      <c r="A38" s="122"/>
      <c r="B38" s="122"/>
      <c r="C38" s="122"/>
      <c r="D38" s="122"/>
      <c r="E38" s="122"/>
      <c r="F38" s="122"/>
      <c r="G38" s="122"/>
      <c r="H38" s="212"/>
      <c r="I38" s="193"/>
      <c r="J38" s="122"/>
      <c r="K38" s="207"/>
      <c r="L38" s="207"/>
      <c r="M38" s="208"/>
      <c r="N38" s="441"/>
      <c r="O38" s="441"/>
      <c r="P38" s="441"/>
      <c r="Q38" s="441"/>
      <c r="R38" s="441"/>
      <c r="S38" s="441"/>
      <c r="T38" s="441"/>
      <c r="U38" s="441"/>
      <c r="V38" s="441"/>
      <c r="W38" s="441"/>
      <c r="X38" s="441"/>
      <c r="Y38" s="441"/>
      <c r="Z38" s="441"/>
      <c r="AA38" s="441"/>
      <c r="AB38" s="441"/>
      <c r="AC38" s="441"/>
      <c r="AD38" s="441"/>
      <c r="AE38" s="441"/>
      <c r="AF38" s="441"/>
      <c r="AG38" s="441"/>
      <c r="AH38" s="441"/>
      <c r="AI38" s="441" t="s">
        <v>1399</v>
      </c>
      <c r="AJ38" s="441"/>
      <c r="AK38" s="441"/>
      <c r="AL38" s="441"/>
      <c r="AM38" s="441"/>
      <c r="AN38" s="441"/>
      <c r="AO38" s="441"/>
      <c r="AP38" s="441"/>
      <c r="AQ38" s="441"/>
      <c r="AR38" s="441"/>
      <c r="AS38" s="441"/>
      <c r="AT38" s="441"/>
      <c r="AU38" s="441"/>
      <c r="AV38" s="441"/>
      <c r="AW38" s="441"/>
      <c r="AX38" s="441"/>
      <c r="AY38" s="441"/>
    </row>
    <row r="39" spans="1:51">
      <c r="A39" s="122"/>
      <c r="B39" s="122"/>
      <c r="C39" s="122"/>
      <c r="D39" s="122"/>
      <c r="E39" s="122"/>
      <c r="F39" s="122"/>
      <c r="G39" s="122"/>
      <c r="H39" s="212"/>
      <c r="I39" s="193"/>
      <c r="J39" s="122"/>
      <c r="K39" s="207"/>
      <c r="L39" s="207"/>
      <c r="M39" s="208"/>
      <c r="N39" s="441"/>
      <c r="O39" s="441"/>
      <c r="P39" s="441"/>
      <c r="Q39" s="441"/>
      <c r="R39" s="441"/>
      <c r="S39" s="441"/>
      <c r="T39" s="441"/>
      <c r="U39" s="441"/>
      <c r="V39" s="441"/>
      <c r="W39" s="441"/>
      <c r="X39" s="441"/>
      <c r="Y39" s="441"/>
      <c r="Z39" s="441"/>
      <c r="AA39" s="441"/>
      <c r="AB39" s="441"/>
      <c r="AC39" s="441"/>
      <c r="AD39" s="441"/>
      <c r="AE39" s="441"/>
      <c r="AF39" s="441"/>
      <c r="AG39" s="441"/>
      <c r="AH39" s="441"/>
      <c r="AI39" s="441" t="s">
        <v>1400</v>
      </c>
      <c r="AJ39" s="441"/>
      <c r="AK39" s="441"/>
      <c r="AL39" s="441"/>
      <c r="AM39" s="441"/>
      <c r="AN39" s="441"/>
      <c r="AO39" s="441"/>
      <c r="AP39" s="441"/>
      <c r="AQ39" s="441"/>
      <c r="AR39" s="441"/>
      <c r="AS39" s="441"/>
      <c r="AT39" s="441"/>
      <c r="AU39" s="441"/>
      <c r="AV39" s="441"/>
      <c r="AW39" s="441"/>
      <c r="AX39" s="441"/>
      <c r="AY39" s="441"/>
    </row>
    <row r="40" spans="1:51">
      <c r="A40" s="122"/>
      <c r="B40" s="122"/>
      <c r="C40" s="122"/>
      <c r="D40" s="122"/>
      <c r="E40" s="122"/>
      <c r="F40" s="122"/>
      <c r="G40" s="122"/>
      <c r="H40" s="212"/>
      <c r="I40" s="193"/>
      <c r="J40" s="122"/>
      <c r="K40" s="207"/>
      <c r="L40" s="207"/>
      <c r="M40" s="208"/>
      <c r="N40" s="441"/>
      <c r="O40" s="441"/>
      <c r="P40" s="441"/>
      <c r="Q40" s="441"/>
      <c r="R40" s="441"/>
      <c r="S40" s="441"/>
      <c r="T40" s="441"/>
      <c r="U40" s="441"/>
      <c r="V40" s="441"/>
      <c r="W40" s="441"/>
      <c r="X40" s="441"/>
      <c r="Y40" s="441"/>
      <c r="Z40" s="441"/>
      <c r="AA40" s="441"/>
      <c r="AB40" s="441"/>
      <c r="AC40" s="441"/>
      <c r="AD40" s="441"/>
      <c r="AE40" s="441"/>
      <c r="AF40" s="441"/>
      <c r="AG40" s="441"/>
      <c r="AH40" s="441"/>
      <c r="AI40" s="441" t="s">
        <v>1401</v>
      </c>
      <c r="AJ40" s="441"/>
      <c r="AK40" s="441"/>
      <c r="AL40" s="441"/>
      <c r="AM40" s="441"/>
      <c r="AN40" s="441"/>
      <c r="AO40" s="441"/>
      <c r="AP40" s="441"/>
      <c r="AQ40" s="441"/>
      <c r="AR40" s="441"/>
      <c r="AS40" s="441"/>
      <c r="AT40" s="441"/>
      <c r="AU40" s="441"/>
      <c r="AV40" s="441"/>
      <c r="AW40" s="441"/>
      <c r="AX40" s="441"/>
      <c r="AY40" s="441"/>
    </row>
    <row r="41" spans="1:51">
      <c r="A41" s="122"/>
      <c r="B41" s="122"/>
      <c r="C41" s="122"/>
      <c r="D41" s="122"/>
      <c r="E41" s="122"/>
      <c r="F41" s="122"/>
      <c r="G41" s="122"/>
      <c r="H41" s="212"/>
      <c r="I41" s="193"/>
      <c r="J41" s="122"/>
      <c r="K41" s="207"/>
      <c r="L41" s="207"/>
      <c r="M41" s="208"/>
      <c r="AI41" s="190" t="s">
        <v>1402</v>
      </c>
    </row>
    <row r="42" spans="1:51">
      <c r="A42" s="122"/>
      <c r="B42" s="122"/>
      <c r="C42" s="122"/>
      <c r="D42" s="122"/>
      <c r="E42" s="122"/>
      <c r="F42" s="122"/>
      <c r="G42" s="122"/>
      <c r="H42" s="212"/>
      <c r="I42" s="193"/>
      <c r="J42" s="122"/>
      <c r="K42" s="122"/>
      <c r="L42" s="207"/>
      <c r="M42" s="208"/>
      <c r="AI42" s="190" t="s">
        <v>1403</v>
      </c>
    </row>
    <row r="43" spans="1:51">
      <c r="A43" s="122"/>
      <c r="B43" s="196"/>
      <c r="C43" s="196"/>
      <c r="D43" s="196"/>
      <c r="E43" s="196"/>
      <c r="F43" s="122"/>
      <c r="G43" s="122"/>
      <c r="H43" s="122"/>
      <c r="I43" s="193"/>
      <c r="J43" s="122"/>
      <c r="K43" s="122"/>
      <c r="L43" s="207"/>
      <c r="M43" s="208"/>
      <c r="AI43" s="190" t="s">
        <v>1404</v>
      </c>
    </row>
    <row r="44" spans="1:51">
      <c r="A44" s="122"/>
      <c r="B44" s="196"/>
      <c r="C44" s="196"/>
      <c r="D44" s="196"/>
      <c r="E44" s="196"/>
      <c r="F44" s="122"/>
      <c r="G44" s="122"/>
      <c r="H44" s="122"/>
      <c r="I44" s="193"/>
      <c r="J44" s="122"/>
      <c r="K44" s="211"/>
      <c r="L44" s="207"/>
      <c r="M44" s="208"/>
      <c r="AI44" s="190" t="s">
        <v>1405</v>
      </c>
    </row>
    <row r="45" spans="1:51">
      <c r="A45" s="122"/>
      <c r="B45" s="196"/>
      <c r="C45" s="196"/>
      <c r="D45" s="196"/>
      <c r="E45" s="196"/>
      <c r="F45" s="122"/>
      <c r="G45" s="122"/>
      <c r="H45" s="122"/>
      <c r="I45" s="193"/>
      <c r="J45" s="122"/>
      <c r="K45" s="122"/>
      <c r="L45" s="207"/>
      <c r="M45" s="208"/>
      <c r="AI45" s="190" t="s">
        <v>1406</v>
      </c>
    </row>
    <row r="46" spans="1:51">
      <c r="A46" s="122"/>
      <c r="B46" s="196"/>
      <c r="C46" s="196"/>
      <c r="D46" s="196"/>
      <c r="E46" s="196"/>
      <c r="F46" s="122"/>
      <c r="G46" s="122"/>
      <c r="H46" s="122"/>
      <c r="I46" s="193"/>
      <c r="J46" s="122"/>
      <c r="K46" s="122"/>
      <c r="L46" s="207"/>
      <c r="M46" s="208"/>
      <c r="AI46" s="190" t="s">
        <v>1407</v>
      </c>
    </row>
    <row r="47" spans="1:51">
      <c r="A47" s="122"/>
      <c r="B47" s="196"/>
      <c r="C47" s="196"/>
      <c r="D47" s="196"/>
      <c r="E47" s="196"/>
      <c r="F47" s="122"/>
      <c r="G47" s="122"/>
      <c r="H47" s="122"/>
      <c r="I47" s="193"/>
      <c r="J47" s="122"/>
      <c r="K47" s="122"/>
      <c r="L47" s="207"/>
      <c r="M47" s="208"/>
      <c r="AI47" s="190" t="s">
        <v>1408</v>
      </c>
    </row>
    <row r="48" spans="1:51">
      <c r="A48" s="122"/>
      <c r="B48" s="196"/>
      <c r="C48" s="196"/>
      <c r="D48" s="196"/>
      <c r="E48" s="196"/>
      <c r="F48" s="122"/>
      <c r="G48" s="122"/>
      <c r="H48" s="122"/>
      <c r="I48" s="122"/>
      <c r="J48" s="122"/>
      <c r="K48" s="122"/>
      <c r="L48" s="207"/>
      <c r="M48" s="208"/>
      <c r="AI48" s="190" t="s">
        <v>1409</v>
      </c>
    </row>
    <row r="49" spans="1:35">
      <c r="A49" s="122"/>
      <c r="B49" s="122"/>
      <c r="C49" s="122"/>
      <c r="D49" s="122"/>
      <c r="E49" s="122"/>
      <c r="F49" s="122"/>
      <c r="G49" s="213"/>
      <c r="H49" s="122"/>
      <c r="I49" s="122"/>
      <c r="J49" s="122"/>
      <c r="K49" s="122"/>
      <c r="L49" s="207"/>
      <c r="M49" s="207"/>
      <c r="N49" s="122"/>
      <c r="AI49" s="190" t="s">
        <v>1410</v>
      </c>
    </row>
    <row r="50" spans="1:35">
      <c r="A50" s="122"/>
      <c r="B50" s="122"/>
      <c r="C50" s="122"/>
      <c r="D50" s="122"/>
      <c r="E50" s="122"/>
      <c r="F50" s="122"/>
      <c r="G50" s="122"/>
      <c r="H50" s="122"/>
      <c r="I50" s="122"/>
      <c r="J50" s="122"/>
      <c r="K50" s="122"/>
      <c r="L50" s="207"/>
      <c r="M50" s="207"/>
      <c r="N50" s="122"/>
      <c r="AI50" s="190" t="s">
        <v>1411</v>
      </c>
    </row>
    <row r="51" spans="1:35">
      <c r="A51" s="122"/>
      <c r="B51" s="122"/>
      <c r="C51" s="122"/>
      <c r="D51" s="122"/>
      <c r="E51" s="122"/>
      <c r="F51" s="122"/>
      <c r="G51" s="122"/>
      <c r="H51" s="122"/>
      <c r="I51" s="122"/>
      <c r="J51" s="122"/>
      <c r="K51" s="122"/>
      <c r="L51" s="207"/>
      <c r="M51" s="207"/>
      <c r="N51" s="122"/>
      <c r="AI51" s="190" t="s">
        <v>1412</v>
      </c>
    </row>
    <row r="52" spans="1:35">
      <c r="A52" s="122"/>
      <c r="B52" s="122"/>
      <c r="C52" s="122"/>
      <c r="D52" s="122"/>
      <c r="E52" s="122"/>
      <c r="F52" s="122"/>
      <c r="G52" s="122"/>
      <c r="H52" s="122"/>
      <c r="I52" s="122"/>
      <c r="J52" s="122"/>
      <c r="K52" s="122"/>
      <c r="L52" s="207"/>
      <c r="M52" s="207"/>
      <c r="N52" s="122"/>
      <c r="AI52" s="190" t="s">
        <v>232</v>
      </c>
    </row>
    <row r="53" spans="1:35">
      <c r="A53" s="122"/>
      <c r="B53" s="122"/>
      <c r="C53" s="122"/>
      <c r="D53" s="122"/>
      <c r="E53" s="122"/>
      <c r="F53" s="122"/>
      <c r="G53" s="122"/>
      <c r="H53" s="122"/>
      <c r="I53" s="122"/>
      <c r="J53" s="122"/>
      <c r="K53" s="122"/>
      <c r="L53" s="207"/>
      <c r="M53" s="207"/>
      <c r="N53" s="122"/>
      <c r="AI53" s="190" t="s">
        <v>233</v>
      </c>
    </row>
    <row r="54" spans="1:35">
      <c r="A54" s="122"/>
      <c r="B54" s="122"/>
      <c r="C54" s="122"/>
      <c r="D54" s="122"/>
      <c r="E54" s="122"/>
      <c r="F54" s="122"/>
      <c r="G54" s="122"/>
      <c r="H54" s="122"/>
      <c r="I54" s="122"/>
      <c r="J54" s="122"/>
      <c r="K54" s="122"/>
      <c r="L54" s="207"/>
      <c r="M54" s="207"/>
      <c r="N54" s="122"/>
      <c r="AI54" s="190" t="s">
        <v>317</v>
      </c>
    </row>
    <row r="55" spans="1:35">
      <c r="A55" s="122"/>
      <c r="B55" s="122"/>
      <c r="C55" s="122"/>
      <c r="D55" s="122"/>
      <c r="E55" s="122"/>
      <c r="F55" s="122"/>
      <c r="G55" s="122"/>
      <c r="H55" s="122"/>
      <c r="I55" s="122"/>
      <c r="J55" s="122"/>
      <c r="K55" s="122"/>
      <c r="L55" s="207"/>
      <c r="M55" s="207"/>
      <c r="N55" s="122"/>
      <c r="AI55" s="190" t="s">
        <v>318</v>
      </c>
    </row>
    <row r="56" spans="1:35">
      <c r="A56" s="122"/>
      <c r="B56" s="122"/>
      <c r="C56" s="122"/>
      <c r="D56" s="122"/>
      <c r="E56" s="122"/>
      <c r="F56" s="122"/>
      <c r="G56" s="122"/>
      <c r="H56" s="122"/>
      <c r="I56" s="122"/>
      <c r="J56" s="122"/>
      <c r="K56" s="122"/>
      <c r="L56" s="207"/>
      <c r="M56" s="207"/>
      <c r="N56" s="122"/>
      <c r="O56" s="122"/>
      <c r="P56" s="122"/>
      <c r="Q56" s="122"/>
      <c r="R56" s="122"/>
      <c r="AI56" s="190" t="s">
        <v>319</v>
      </c>
    </row>
    <row r="57" spans="1:35">
      <c r="A57" s="122"/>
      <c r="B57" s="122"/>
      <c r="C57" s="122"/>
      <c r="D57" s="122"/>
      <c r="E57" s="122"/>
      <c r="F57" s="122"/>
      <c r="G57" s="122"/>
      <c r="H57" s="122"/>
      <c r="I57" s="122"/>
      <c r="J57" s="122"/>
      <c r="K57" s="122"/>
      <c r="L57" s="207"/>
      <c r="M57" s="207"/>
      <c r="N57" s="122"/>
      <c r="O57" s="122"/>
      <c r="P57" s="122"/>
      <c r="Q57" s="122"/>
      <c r="R57" s="122"/>
      <c r="AI57" s="190" t="s">
        <v>320</v>
      </c>
    </row>
    <row r="58" spans="1:35">
      <c r="A58" s="122"/>
      <c r="B58" s="122"/>
      <c r="C58" s="122"/>
      <c r="D58" s="122"/>
      <c r="E58" s="122"/>
      <c r="F58" s="122"/>
      <c r="G58" s="122"/>
      <c r="H58" s="122"/>
      <c r="I58" s="122"/>
      <c r="J58" s="122"/>
      <c r="K58" s="122"/>
      <c r="L58" s="207"/>
      <c r="M58" s="207"/>
      <c r="N58" s="122"/>
      <c r="O58" s="122"/>
      <c r="P58" s="122"/>
      <c r="Q58" s="122"/>
      <c r="R58" s="122"/>
      <c r="AI58" s="190" t="s">
        <v>321</v>
      </c>
    </row>
    <row r="59" spans="1:35">
      <c r="A59" s="122"/>
      <c r="B59" s="122"/>
      <c r="C59" s="122"/>
      <c r="D59" s="122"/>
      <c r="E59" s="122"/>
      <c r="F59" s="122"/>
      <c r="G59" s="122"/>
      <c r="H59" s="122"/>
      <c r="I59" s="122"/>
      <c r="J59" s="122"/>
      <c r="K59" s="122"/>
      <c r="L59" s="122"/>
      <c r="M59" s="122"/>
      <c r="N59" s="122"/>
      <c r="O59" s="122"/>
      <c r="P59" s="122"/>
      <c r="Q59" s="122"/>
      <c r="R59" s="122"/>
      <c r="AI59" s="190" t="s">
        <v>322</v>
      </c>
    </row>
    <row r="60" spans="1:35">
      <c r="AI60" s="190" t="s">
        <v>1502</v>
      </c>
    </row>
    <row r="61" spans="1:35">
      <c r="AI61" s="190" t="s">
        <v>439</v>
      </c>
    </row>
    <row r="62" spans="1:35">
      <c r="AI62" s="190" t="s">
        <v>440</v>
      </c>
    </row>
    <row r="63" spans="1:35">
      <c r="AI63" s="190" t="s">
        <v>441</v>
      </c>
    </row>
    <row r="64" spans="1:35">
      <c r="AI64" s="190" t="s">
        <v>442</v>
      </c>
    </row>
    <row r="65" spans="35:35">
      <c r="AI65" s="190" t="s">
        <v>443</v>
      </c>
    </row>
    <row r="66" spans="35:35">
      <c r="AI66" s="190" t="s">
        <v>444</v>
      </c>
    </row>
    <row r="67" spans="35:35">
      <c r="AI67" s="190" t="s">
        <v>445</v>
      </c>
    </row>
    <row r="68" spans="35:35">
      <c r="AI68" s="190" t="s">
        <v>446</v>
      </c>
    </row>
    <row r="69" spans="35:35">
      <c r="AI69" s="190" t="s">
        <v>1039</v>
      </c>
    </row>
    <row r="70" spans="35:35">
      <c r="AI70" s="190" t="s">
        <v>830</v>
      </c>
    </row>
    <row r="71" spans="35:35">
      <c r="AI71" s="190" t="s">
        <v>865</v>
      </c>
    </row>
    <row r="72" spans="35:35">
      <c r="AI72" s="190" t="s">
        <v>448</v>
      </c>
    </row>
  </sheetData>
  <sheetProtection password="CCBC" sheet="1" objects="1" scenarios="1"/>
  <dataConsolidate/>
  <mergeCells count="43">
    <mergeCell ref="B22:D22"/>
    <mergeCell ref="E22:G22"/>
    <mergeCell ref="B27:D27"/>
    <mergeCell ref="E27:G27"/>
    <mergeCell ref="B26:D26"/>
    <mergeCell ref="E26:G26"/>
    <mergeCell ref="B24:D24"/>
    <mergeCell ref="E24:G24"/>
    <mergeCell ref="B25:D25"/>
    <mergeCell ref="E25:G25"/>
    <mergeCell ref="E21:G21"/>
    <mergeCell ref="B21:D21"/>
    <mergeCell ref="B18:D18"/>
    <mergeCell ref="B19:D19"/>
    <mergeCell ref="E20:G20"/>
    <mergeCell ref="B20:D20"/>
    <mergeCell ref="E19:G19"/>
    <mergeCell ref="B12:D12"/>
    <mergeCell ref="B17:D17"/>
    <mergeCell ref="E16:G16"/>
    <mergeCell ref="B15:D15"/>
    <mergeCell ref="E15:G15"/>
    <mergeCell ref="B16:D16"/>
    <mergeCell ref="E13:G13"/>
    <mergeCell ref="B13:D13"/>
    <mergeCell ref="E14:G14"/>
    <mergeCell ref="B14:D14"/>
    <mergeCell ref="B28:J28"/>
    <mergeCell ref="B23:D23"/>
    <mergeCell ref="E23:G23"/>
    <mergeCell ref="B6:D6"/>
    <mergeCell ref="E6:G6"/>
    <mergeCell ref="B7:D7"/>
    <mergeCell ref="E7:G7"/>
    <mergeCell ref="B8:D8"/>
    <mergeCell ref="E8:G8"/>
    <mergeCell ref="B9:D9"/>
    <mergeCell ref="E9:G9"/>
    <mergeCell ref="B11:D11"/>
    <mergeCell ref="E12:G12"/>
    <mergeCell ref="E11:G11"/>
    <mergeCell ref="B10:D10"/>
    <mergeCell ref="E10:G10"/>
  </mergeCells>
  <phoneticPr fontId="0" type="noConversion"/>
  <dataValidations count="10">
    <dataValidation type="list" allowBlank="1" showInputMessage="1" showErrorMessage="1" sqref="E9:G9" xr:uid="{00000000-0002-0000-0100-000000000000}">
      <formula1>$AI$7:$AI$72</formula1>
    </dataValidation>
    <dataValidation type="whole" allowBlank="1" showInputMessage="1" showErrorMessage="1" errorTitle="Inproper Input" error="The number must be a phone number.  Be sure to include the area code." promptTitle="Input Information:" prompt="Please input the phone number.  Use all numbers (the computer will insert parenthesis and hyphens as appropriate)." sqref="E17:E18" xr:uid="{00000000-0002-0000-0100-000001000000}">
      <formula1>1000000000</formula1>
      <formula2>9999999999</formula2>
    </dataValidation>
    <dataValidation type="list" showInputMessage="1" showErrorMessage="1" sqref="J8" xr:uid="{00000000-0002-0000-0100-000002000000}">
      <formula1>$Q$7:$Q$19</formula1>
    </dataValidation>
    <dataValidation type="list" allowBlank="1" showInputMessage="1" showErrorMessage="1" sqref="J9" xr:uid="{00000000-0002-0000-0100-000003000000}">
      <formula1>$T$7:$T$20</formula1>
    </dataValidation>
    <dataValidation type="list" allowBlank="1" showInputMessage="1" showErrorMessage="1" sqref="J10" xr:uid="{00000000-0002-0000-0100-000004000000}">
      <formula1>$W$7:$W$11</formula1>
    </dataValidation>
    <dataValidation type="list" allowBlank="1" showInputMessage="1" showErrorMessage="1" sqref="J11" xr:uid="{00000000-0002-0000-0100-000005000000}">
      <formula1>$Z$7:$Z$10</formula1>
    </dataValidation>
    <dataValidation type="list" allowBlank="1" showInputMessage="1" showErrorMessage="1" sqref="J12" xr:uid="{00000000-0002-0000-0100-000006000000}">
      <formula1>$AC$7:$AC$13</formula1>
    </dataValidation>
    <dataValidation type="list" allowBlank="1" showInputMessage="1" showErrorMessage="1" sqref="E14:G14" xr:uid="{00000000-0002-0000-0100-000007000000}">
      <formula1>$AL$7:$AL$13</formula1>
    </dataValidation>
    <dataValidation type="list" allowBlank="1" showInputMessage="1" showErrorMessage="1" sqref="E23:G23" xr:uid="{00000000-0002-0000-0100-000008000000}">
      <formula1>$P$7:$P$12</formula1>
    </dataValidation>
    <dataValidation type="list" allowBlank="1" showInputMessage="1" showErrorMessage="1" sqref="J22" xr:uid="{00000000-0002-0000-0100-000009000000}">
      <formula1>$K$21:$K$23</formula1>
    </dataValidation>
  </dataValidations>
  <printOptions horizontalCentered="1" verticalCentered="1"/>
  <pageMargins left="0.75" right="0.75" top="1" bottom="1" header="0.5" footer="0.5"/>
  <pageSetup scale="86" orientation="landscape" r:id="rId1"/>
  <headerFooter alignWithMargins="0"/>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X278"/>
  <sheetViews>
    <sheetView tabSelected="1" topLeftCell="A79" zoomScaleNormal="100" workbookViewId="0">
      <selection activeCell="J93" sqref="J93"/>
    </sheetView>
  </sheetViews>
  <sheetFormatPr baseColWidth="10" defaultColWidth="9.1640625" defaultRowHeight="13"/>
  <cols>
    <col min="1" max="1" width="3.1640625" style="1164" customWidth="1"/>
    <col min="2" max="2" width="2.5" style="1164" customWidth="1"/>
    <col min="3" max="3" width="2.6640625" style="1164" customWidth="1"/>
    <col min="4" max="4" width="3" style="1164" customWidth="1"/>
    <col min="5" max="5" width="5.1640625" style="1164" customWidth="1"/>
    <col min="6" max="6" width="11.6640625" style="1164" customWidth="1"/>
    <col min="7" max="7" width="6.6640625" style="1164" customWidth="1"/>
    <col min="8" max="8" width="8.5" style="1164" customWidth="1"/>
    <col min="9" max="9" width="9.1640625" style="1164"/>
    <col min="10" max="10" width="20.83203125" style="1164" customWidth="1"/>
    <col min="11" max="11" width="6.33203125" style="1164" customWidth="1"/>
    <col min="12" max="12" width="5.5" style="1164" customWidth="1"/>
    <col min="13" max="13" width="5.83203125" style="1164" customWidth="1"/>
    <col min="14" max="14" width="2.33203125" style="1164" customWidth="1"/>
    <col min="15" max="15" width="6.83203125" style="1164" hidden="1" customWidth="1"/>
    <col min="16" max="18" width="6.33203125" style="1164" hidden="1" customWidth="1"/>
    <col min="19" max="19" width="6.33203125" style="1164" customWidth="1"/>
    <col min="20" max="20" width="6.33203125" style="1164" hidden="1" customWidth="1"/>
    <col min="21" max="21" width="6.33203125" style="1164" customWidth="1"/>
    <col min="22" max="22" width="5" style="1164" hidden="1" customWidth="1"/>
    <col min="23" max="16384" width="9.1640625" style="1164"/>
  </cols>
  <sheetData>
    <row r="1" spans="1:22" ht="14" thickBot="1">
      <c r="A1" s="1160" t="s">
        <v>1605</v>
      </c>
      <c r="B1" s="1161"/>
      <c r="C1" s="1161"/>
      <c r="D1" s="1161"/>
      <c r="E1" s="1161"/>
      <c r="F1" s="1161"/>
      <c r="G1" s="1161"/>
      <c r="H1" s="1161"/>
      <c r="I1" s="1161"/>
      <c r="J1" s="1162">
        <v>0</v>
      </c>
      <c r="K1" s="1163"/>
      <c r="L1" s="1161"/>
      <c r="M1" s="1161"/>
      <c r="N1" s="1161"/>
      <c r="O1" s="1161"/>
    </row>
    <row r="2" spans="1:22" ht="30" customHeight="1" thickTop="1" thickBot="1">
      <c r="A2" s="1161"/>
      <c r="B2" s="1237" t="s">
        <v>2079</v>
      </c>
      <c r="C2" s="1165"/>
      <c r="D2" s="1165"/>
      <c r="E2" s="1165"/>
      <c r="F2" s="1165"/>
      <c r="G2" s="1165"/>
      <c r="H2" s="1165"/>
      <c r="I2" s="1165"/>
      <c r="J2" s="1165"/>
      <c r="K2" s="1165"/>
      <c r="L2" s="1165"/>
      <c r="M2" s="1165"/>
      <c r="N2" s="1165"/>
      <c r="O2" s="1165"/>
      <c r="P2" s="1165"/>
      <c r="Q2" s="1165"/>
      <c r="R2" s="1165"/>
      <c r="S2" s="1165"/>
      <c r="T2" s="1166"/>
      <c r="U2" s="1166"/>
    </row>
    <row r="3" spans="1:22" ht="7.5" customHeight="1" thickTop="1">
      <c r="A3" s="1161"/>
      <c r="B3" s="1547" t="s">
        <v>363</v>
      </c>
      <c r="C3" s="1547"/>
      <c r="D3" s="1547"/>
      <c r="E3" s="1547"/>
      <c r="F3" s="1547"/>
      <c r="G3" s="1547"/>
      <c r="H3" s="1547"/>
      <c r="I3" s="1547"/>
      <c r="J3" s="1547"/>
      <c r="K3" s="1547"/>
      <c r="L3" s="1547"/>
      <c r="M3" s="1548"/>
      <c r="N3" s="1167"/>
      <c r="O3" s="1167"/>
    </row>
    <row r="4" spans="1:22" ht="16">
      <c r="A4" s="1161"/>
      <c r="B4" s="1168" t="s">
        <v>1770</v>
      </c>
      <c r="C4" s="1168"/>
      <c r="D4" s="1161"/>
      <c r="E4" s="1161"/>
      <c r="F4" s="1161"/>
      <c r="G4" s="1161"/>
      <c r="H4" s="1161"/>
      <c r="I4" s="1161"/>
      <c r="J4" s="1169"/>
      <c r="K4" s="1170"/>
      <c r="L4" s="1171"/>
      <c r="M4" s="1172"/>
      <c r="N4" s="1172"/>
      <c r="O4" s="1172"/>
    </row>
    <row r="5" spans="1:22">
      <c r="A5" s="1161"/>
      <c r="B5" s="1161"/>
      <c r="C5" s="1161"/>
      <c r="D5" s="1161" t="s">
        <v>1267</v>
      </c>
      <c r="E5" s="1161"/>
      <c r="F5" s="1161"/>
      <c r="G5" s="1161"/>
      <c r="H5" s="1161"/>
      <c r="I5" s="1174"/>
      <c r="J5" s="1169"/>
      <c r="K5" s="1170" t="s">
        <v>134</v>
      </c>
      <c r="L5" s="1173"/>
      <c r="M5" s="1172"/>
      <c r="N5" s="1172"/>
      <c r="O5" s="1172"/>
    </row>
    <row r="6" spans="1:22" hidden="1">
      <c r="A6" s="1161"/>
      <c r="B6" s="1161"/>
      <c r="C6" s="1161"/>
      <c r="D6" s="1161" t="s">
        <v>1265</v>
      </c>
      <c r="E6" s="1161"/>
      <c r="F6" s="1161"/>
      <c r="G6" s="1234" t="str">
        <f>+'[16]Primary Input'!E10</f>
        <v xml:space="preserve">5th </v>
      </c>
      <c r="H6" s="1161"/>
      <c r="I6" s="1174"/>
      <c r="J6" s="1169"/>
      <c r="K6" s="1170"/>
      <c r="L6" s="1173"/>
      <c r="M6" s="1172"/>
      <c r="N6" s="1172"/>
      <c r="O6" s="1172"/>
    </row>
    <row r="7" spans="1:22">
      <c r="A7" s="1161"/>
      <c r="B7" s="1161"/>
      <c r="C7" s="1161"/>
      <c r="D7" s="1161" t="s">
        <v>1136</v>
      </c>
      <c r="E7" s="1161"/>
      <c r="F7" s="1169"/>
      <c r="G7" s="1169"/>
      <c r="H7" s="1169"/>
      <c r="I7" s="1174" t="s">
        <v>134</v>
      </c>
      <c r="J7" s="1169"/>
      <c r="K7" s="1170"/>
      <c r="L7" s="1173"/>
      <c r="M7" s="1172"/>
      <c r="N7" s="1172"/>
      <c r="O7" s="1172"/>
    </row>
    <row r="8" spans="1:22" hidden="1">
      <c r="A8" s="1161"/>
      <c r="B8" s="1161"/>
      <c r="C8" s="1161"/>
      <c r="D8" s="1161" t="s">
        <v>1266</v>
      </c>
      <c r="E8" s="1161"/>
      <c r="F8" s="1169"/>
      <c r="G8" s="1169"/>
      <c r="H8" s="1169"/>
      <c r="I8" s="1174"/>
      <c r="J8" s="1169"/>
      <c r="K8" s="1170"/>
      <c r="L8" s="1173"/>
      <c r="M8" s="1172"/>
      <c r="N8" s="1172"/>
      <c r="O8" s="1172"/>
    </row>
    <row r="9" spans="1:22" hidden="1">
      <c r="A9" s="1161"/>
      <c r="B9" s="1169"/>
      <c r="C9" s="1169"/>
      <c r="D9" s="1161"/>
      <c r="E9" s="1161"/>
      <c r="F9" s="1169"/>
      <c r="G9" s="1169"/>
      <c r="H9" s="1169"/>
      <c r="I9" s="1169"/>
      <c r="J9" s="1169"/>
      <c r="K9" s="1170"/>
      <c r="L9" s="1173"/>
      <c r="M9" s="1172"/>
      <c r="N9" s="1172"/>
      <c r="O9" s="1172"/>
    </row>
    <row r="10" spans="1:22" ht="9.75" customHeight="1">
      <c r="A10" s="1161"/>
      <c r="B10" s="1161"/>
      <c r="C10" s="1161"/>
      <c r="D10" s="1161"/>
      <c r="E10" s="1161"/>
      <c r="F10" s="1161"/>
      <c r="G10" s="1161"/>
      <c r="H10" s="1161"/>
      <c r="I10" s="1161"/>
      <c r="J10" s="1161"/>
      <c r="K10" s="1161"/>
      <c r="L10" s="1161"/>
      <c r="M10" s="1161"/>
      <c r="N10" s="1161"/>
      <c r="O10" s="1161"/>
    </row>
    <row r="11" spans="1:22" ht="51" customHeight="1" thickBot="1">
      <c r="A11" s="1161"/>
      <c r="B11" s="1549" t="s">
        <v>1309</v>
      </c>
      <c r="C11" s="1550"/>
      <c r="D11" s="1550"/>
      <c r="E11" s="1550"/>
      <c r="F11" s="1550"/>
      <c r="G11" s="1550"/>
      <c r="H11" s="1550"/>
      <c r="I11" s="1550"/>
      <c r="J11" s="1550"/>
      <c r="K11" s="1550"/>
      <c r="L11" s="1550"/>
      <c r="M11" s="1550"/>
      <c r="N11" s="1550"/>
      <c r="O11" s="1550"/>
      <c r="P11" s="1550"/>
      <c r="Q11" s="1550"/>
      <c r="R11" s="1550"/>
      <c r="S11" s="1550"/>
      <c r="T11" s="1550"/>
      <c r="U11" s="1550"/>
    </row>
    <row r="12" spans="1:22" ht="14" thickBot="1">
      <c r="A12" s="1161"/>
      <c r="B12" s="1161"/>
      <c r="C12" s="1161"/>
      <c r="D12" s="1161"/>
      <c r="E12" s="1161"/>
      <c r="F12" s="1161"/>
      <c r="G12" s="1161"/>
      <c r="H12" s="1161"/>
      <c r="I12" s="1161"/>
      <c r="J12" s="1161"/>
      <c r="K12" s="1161"/>
      <c r="L12" s="1161"/>
      <c r="M12" s="1161"/>
      <c r="N12" s="1161"/>
      <c r="O12" s="1238"/>
      <c r="P12" s="1239"/>
      <c r="Q12" s="1175"/>
      <c r="R12" s="1239"/>
      <c r="S12" s="1238" t="s">
        <v>2034</v>
      </c>
      <c r="T12" s="1239"/>
      <c r="U12" s="1176"/>
      <c r="V12" s="1240"/>
    </row>
    <row r="13" spans="1:22">
      <c r="A13" s="1177" t="s">
        <v>1280</v>
      </c>
      <c r="B13" s="1178" t="s">
        <v>2080</v>
      </c>
      <c r="C13" s="1177"/>
      <c r="D13" s="1179"/>
      <c r="E13" s="1179"/>
      <c r="F13" s="1179"/>
      <c r="G13" s="1179"/>
      <c r="H13" s="1179"/>
      <c r="I13" s="1179"/>
      <c r="J13" s="1179"/>
      <c r="K13" s="1179"/>
      <c r="L13" s="1180" t="s">
        <v>300</v>
      </c>
      <c r="M13" s="1180" t="s">
        <v>301</v>
      </c>
      <c r="N13" s="1180"/>
      <c r="O13" s="1289" t="s">
        <v>484</v>
      </c>
      <c r="P13" s="1290"/>
      <c r="Q13" s="1274" t="s">
        <v>485</v>
      </c>
      <c r="R13" s="1275"/>
      <c r="S13" s="1265" t="s">
        <v>2033</v>
      </c>
      <c r="T13" s="1241"/>
      <c r="U13" s="1248" t="s">
        <v>486</v>
      </c>
      <c r="V13" s="1258"/>
    </row>
    <row r="14" spans="1:22">
      <c r="A14" s="1181"/>
      <c r="B14" s="1181"/>
      <c r="C14" s="1181"/>
      <c r="D14" s="1181"/>
      <c r="E14" s="1181"/>
      <c r="F14" s="1181"/>
      <c r="G14" s="1181"/>
      <c r="H14" s="1181"/>
      <c r="I14" s="1181"/>
      <c r="J14" s="1181"/>
      <c r="K14" s="1181"/>
      <c r="L14" s="1182" t="s">
        <v>302</v>
      </c>
      <c r="M14" s="1182" t="s">
        <v>302</v>
      </c>
      <c r="N14" s="1183"/>
      <c r="O14" s="1291" t="s">
        <v>487</v>
      </c>
      <c r="P14" s="1292"/>
      <c r="Q14" s="1276" t="s">
        <v>487</v>
      </c>
      <c r="R14" s="1277"/>
      <c r="S14" s="1266" t="s">
        <v>488</v>
      </c>
      <c r="T14" s="1242"/>
      <c r="U14" s="1249" t="s">
        <v>488</v>
      </c>
      <c r="V14" s="1259"/>
    </row>
    <row r="15" spans="1:22">
      <c r="A15" s="1179"/>
      <c r="B15" s="1179" t="s">
        <v>303</v>
      </c>
      <c r="C15" s="1179" t="s">
        <v>2145</v>
      </c>
      <c r="D15" s="1179"/>
      <c r="E15" s="1179"/>
      <c r="F15" s="1179"/>
      <c r="G15" s="1179"/>
      <c r="H15" s="1179"/>
      <c r="I15" s="1179"/>
      <c r="J15" s="1179"/>
      <c r="K15" s="1179"/>
      <c r="L15" s="1180"/>
      <c r="M15" s="1180"/>
      <c r="N15" s="1180"/>
      <c r="O15" s="1293"/>
      <c r="P15" s="1294"/>
      <c r="Q15" s="1278"/>
      <c r="R15" s="1279"/>
      <c r="S15" s="1267"/>
      <c r="T15" s="1243"/>
      <c r="U15" s="1250"/>
      <c r="V15" s="1260"/>
    </row>
    <row r="16" spans="1:22">
      <c r="A16" s="1179"/>
      <c r="B16" s="1179"/>
      <c r="C16" s="1179"/>
      <c r="D16" s="1179"/>
      <c r="E16" s="1179"/>
      <c r="F16" s="1179"/>
      <c r="G16" s="1179"/>
      <c r="H16" s="1179"/>
      <c r="I16" s="1179"/>
      <c r="J16" s="1179"/>
      <c r="K16" s="1179"/>
      <c r="L16" s="1180"/>
      <c r="M16" s="1180"/>
      <c r="N16" s="1180"/>
      <c r="O16" s="1293"/>
      <c r="P16" s="1294"/>
      <c r="Q16" s="1278"/>
      <c r="R16" s="1279"/>
      <c r="S16" s="1267"/>
      <c r="T16" s="1243"/>
      <c r="U16" s="1250"/>
      <c r="V16" s="1260"/>
    </row>
    <row r="17" spans="1:22" ht="12.75" customHeight="1">
      <c r="A17" s="1179"/>
      <c r="B17" s="1179"/>
      <c r="C17" s="1551" t="s">
        <v>128</v>
      </c>
      <c r="D17" s="1551"/>
      <c r="E17" s="1551"/>
      <c r="F17" s="1551"/>
      <c r="G17" s="1551"/>
      <c r="H17" s="1551"/>
      <c r="I17" s="1551"/>
      <c r="J17" s="1551"/>
      <c r="K17" s="1179"/>
      <c r="L17" s="1180"/>
      <c r="M17" s="1180"/>
      <c r="N17" s="1180"/>
      <c r="O17" s="1293"/>
      <c r="P17" s="1294"/>
      <c r="Q17" s="1278"/>
      <c r="R17" s="1279"/>
      <c r="S17" s="1267"/>
      <c r="T17" s="1243"/>
      <c r="U17" s="1250"/>
      <c r="V17" s="1260"/>
    </row>
    <row r="18" spans="1:22">
      <c r="A18" s="1179"/>
      <c r="B18" s="1179"/>
      <c r="C18" s="1179"/>
      <c r="D18" s="1179"/>
      <c r="E18" s="1179"/>
      <c r="F18" s="1179"/>
      <c r="G18" s="1179"/>
      <c r="H18" s="1179"/>
      <c r="I18" s="1179"/>
      <c r="J18" s="1179"/>
      <c r="K18" s="1179"/>
      <c r="L18" s="1180"/>
      <c r="M18" s="1180"/>
      <c r="N18" s="1180"/>
      <c r="O18" s="1293"/>
      <c r="P18" s="1294"/>
      <c r="Q18" s="1278"/>
      <c r="R18" s="1279"/>
      <c r="S18" s="1267"/>
      <c r="T18" s="1243"/>
      <c r="U18" s="1250"/>
      <c r="V18" s="1260"/>
    </row>
    <row r="19" spans="1:22">
      <c r="A19" s="1179"/>
      <c r="B19" s="1179"/>
      <c r="C19" s="1179"/>
      <c r="D19" s="1179"/>
      <c r="E19" s="1179" t="s">
        <v>1944</v>
      </c>
      <c r="F19" s="1179" t="s">
        <v>129</v>
      </c>
      <c r="G19" s="1179"/>
      <c r="H19" s="1179"/>
      <c r="I19" s="1179"/>
      <c r="J19" s="1179"/>
      <c r="K19" s="1174"/>
      <c r="L19" s="1179">
        <f>IF(K19&lt;&gt;"", M19, 0)</f>
        <v>0</v>
      </c>
      <c r="M19" s="1180">
        <v>4</v>
      </c>
      <c r="N19" s="1180"/>
      <c r="O19" s="1295"/>
      <c r="P19" s="1296">
        <f>IF(O19&lt;&gt;"", M19, 0)</f>
        <v>0</v>
      </c>
      <c r="Q19" s="1273"/>
      <c r="R19" s="1280">
        <f>IF(Q19&lt;&gt;"",M19, 0)</f>
        <v>0</v>
      </c>
      <c r="S19" s="1246"/>
      <c r="T19" s="1191">
        <f>IF(S19&lt;&gt;"",M19,0)</f>
        <v>0</v>
      </c>
      <c r="U19" s="1251"/>
      <c r="V19" s="1261">
        <f>IF(U19&lt;&gt;"", M19, 0)</f>
        <v>0</v>
      </c>
    </row>
    <row r="20" spans="1:22">
      <c r="A20" s="1179"/>
      <c r="B20" s="1179"/>
      <c r="C20" s="1179"/>
      <c r="D20" s="1179"/>
      <c r="E20" s="1179" t="s">
        <v>1945</v>
      </c>
      <c r="F20" s="1179" t="s">
        <v>130</v>
      </c>
      <c r="G20" s="1179"/>
      <c r="H20" s="1179"/>
      <c r="I20" s="1179"/>
      <c r="J20" s="1179"/>
      <c r="K20" s="1174"/>
      <c r="L20" s="1179">
        <f>IF(K20&lt;&gt;"", M20, 0)</f>
        <v>0</v>
      </c>
      <c r="M20" s="1180">
        <v>8</v>
      </c>
      <c r="N20" s="1180"/>
      <c r="O20" s="1295"/>
      <c r="P20" s="1296">
        <f>IF(O20&lt;&gt;"", M20, 0)</f>
        <v>0</v>
      </c>
      <c r="Q20" s="1273"/>
      <c r="R20" s="1280">
        <f>IF(Q20&lt;&gt;"",M20, 0)</f>
        <v>0</v>
      </c>
      <c r="S20" s="1246"/>
      <c r="T20" s="1191">
        <f>IF(S20&lt;&gt;"",M20,0)</f>
        <v>0</v>
      </c>
      <c r="U20" s="1251"/>
      <c r="V20" s="1261">
        <f>IF(U20&lt;&gt;"", M20, 0)</f>
        <v>0</v>
      </c>
    </row>
    <row r="21" spans="1:22">
      <c r="A21" s="1179"/>
      <c r="B21" s="1179"/>
      <c r="C21" s="1179"/>
      <c r="D21" s="1179"/>
      <c r="E21" s="1179" t="s">
        <v>1946</v>
      </c>
      <c r="F21" s="1179" t="s">
        <v>131</v>
      </c>
      <c r="G21" s="1179"/>
      <c r="H21" s="1179"/>
      <c r="I21" s="1179"/>
      <c r="J21" s="1179"/>
      <c r="K21" s="1174"/>
      <c r="L21" s="1179">
        <f>IF(K21&lt;&gt;"", M21, 0)</f>
        <v>0</v>
      </c>
      <c r="M21" s="1180">
        <v>10</v>
      </c>
      <c r="N21" s="1180"/>
      <c r="O21" s="1295"/>
      <c r="P21" s="1296">
        <f>IF(O21&lt;&gt;"", M21, 0)</f>
        <v>0</v>
      </c>
      <c r="Q21" s="1273"/>
      <c r="R21" s="1280">
        <f>IF(Q21&lt;&gt;"",M21, 0)</f>
        <v>0</v>
      </c>
      <c r="S21" s="1246"/>
      <c r="T21" s="1191">
        <f>IF(S21&lt;&gt;"",M21,0)</f>
        <v>0</v>
      </c>
      <c r="U21" s="1251"/>
      <c r="V21" s="1261">
        <f>IF(U21&lt;&gt;"", M21, 0)</f>
        <v>0</v>
      </c>
    </row>
    <row r="22" spans="1:22">
      <c r="A22" s="1179"/>
      <c r="B22" s="1179"/>
      <c r="C22" s="1179"/>
      <c r="D22" s="1179"/>
      <c r="E22" s="1179"/>
      <c r="F22" s="1179"/>
      <c r="G22" s="1179"/>
      <c r="H22" s="1179"/>
      <c r="I22" s="1179"/>
      <c r="J22" s="1179"/>
      <c r="K22" s="1179"/>
      <c r="L22" s="1179"/>
      <c r="M22" s="1180"/>
      <c r="N22" s="1180"/>
      <c r="O22" s="1293"/>
      <c r="P22" s="1296"/>
      <c r="Q22" s="1278"/>
      <c r="R22" s="1280"/>
      <c r="S22" s="1268"/>
      <c r="T22" s="1191"/>
      <c r="U22" s="1250"/>
      <c r="V22" s="1261"/>
    </row>
    <row r="23" spans="1:22" ht="36" customHeight="1">
      <c r="A23" s="1179"/>
      <c r="B23" s="1179"/>
      <c r="C23" s="1552" t="s">
        <v>2160</v>
      </c>
      <c r="D23" s="1552"/>
      <c r="E23" s="1552"/>
      <c r="F23" s="1552"/>
      <c r="G23" s="1552"/>
      <c r="H23" s="1552"/>
      <c r="I23" s="1552"/>
      <c r="J23" s="1552"/>
      <c r="K23" s="1179"/>
      <c r="L23" s="1180"/>
      <c r="M23" s="1180"/>
      <c r="N23" s="1180"/>
      <c r="O23" s="1295"/>
      <c r="P23" s="1296">
        <f>IF(O23&lt;&gt;"", M23, 0)</f>
        <v>0</v>
      </c>
      <c r="Q23" s="1273"/>
      <c r="R23" s="1280">
        <f>IF(Q23&lt;&gt;"",M23, 0)</f>
        <v>0</v>
      </c>
      <c r="S23" s="1246"/>
      <c r="T23" s="1191">
        <f>IF(S23&lt;&gt;"",M23,0)</f>
        <v>0</v>
      </c>
      <c r="U23" s="1251"/>
      <c r="V23" s="1261">
        <f>IF(U23&lt;&gt;"", M23, 0)</f>
        <v>0</v>
      </c>
    </row>
    <row r="24" spans="1:22">
      <c r="A24" s="1186"/>
      <c r="B24" s="1186"/>
      <c r="C24" s="1186"/>
      <c r="D24" s="1186"/>
      <c r="E24" s="1186"/>
      <c r="F24" s="1186"/>
      <c r="G24" s="1186"/>
      <c r="H24" s="1186"/>
      <c r="I24" s="1186"/>
      <c r="J24" s="1186"/>
      <c r="K24" s="1186"/>
      <c r="L24" s="1183"/>
      <c r="M24" s="1183"/>
      <c r="N24" s="1183"/>
      <c r="O24" s="1293"/>
      <c r="P24" s="1296"/>
      <c r="Q24" s="1278"/>
      <c r="R24" s="1280"/>
      <c r="S24" s="1268"/>
      <c r="T24" s="1191"/>
      <c r="U24" s="1250"/>
      <c r="V24" s="1261"/>
    </row>
    <row r="25" spans="1:22">
      <c r="A25" s="1186"/>
      <c r="B25" s="1186"/>
      <c r="C25" s="1186"/>
      <c r="D25" s="1230" t="s">
        <v>1944</v>
      </c>
      <c r="E25" s="1179" t="s">
        <v>2111</v>
      </c>
      <c r="F25" s="1179"/>
      <c r="G25" s="1186"/>
      <c r="H25" s="1186"/>
      <c r="I25" s="1186"/>
      <c r="J25" s="1186"/>
      <c r="K25" s="1174"/>
      <c r="L25" s="1179">
        <f>IF(K25&lt;&gt;"", M25, 0)</f>
        <v>0</v>
      </c>
      <c r="M25" s="1180">
        <v>10</v>
      </c>
      <c r="N25" s="1180"/>
      <c r="O25" s="1295"/>
      <c r="P25" s="1296">
        <f>IF(O25&lt;&gt;"", M25, 0)</f>
        <v>0</v>
      </c>
      <c r="Q25" s="1273"/>
      <c r="R25" s="1280">
        <f>IF(Q25&lt;&gt;"",M25, 0)</f>
        <v>0</v>
      </c>
      <c r="S25" s="1246"/>
      <c r="T25" s="1191">
        <f>IF(S25&lt;&gt;"",M25,0)</f>
        <v>0</v>
      </c>
      <c r="U25" s="1251"/>
      <c r="V25" s="1261">
        <f>IF(U25&lt;&gt;"", M25, 0)</f>
        <v>0</v>
      </c>
    </row>
    <row r="26" spans="1:22">
      <c r="A26" s="1186"/>
      <c r="B26" s="1186"/>
      <c r="C26" s="1186"/>
      <c r="D26" s="1230" t="s">
        <v>1945</v>
      </c>
      <c r="E26" s="1179" t="s">
        <v>2112</v>
      </c>
      <c r="F26" s="1179"/>
      <c r="G26" s="1186"/>
      <c r="H26" s="1186"/>
      <c r="I26" s="1186"/>
      <c r="J26" s="1186"/>
      <c r="K26" s="1174"/>
      <c r="L26" s="1179">
        <f>IF(K26&lt;&gt;"", M26, 0)</f>
        <v>0</v>
      </c>
      <c r="M26" s="1180">
        <v>12</v>
      </c>
      <c r="N26" s="1180"/>
      <c r="O26" s="1295"/>
      <c r="P26" s="1296">
        <f>IF(O26&lt;&gt;"", M26, 0)</f>
        <v>0</v>
      </c>
      <c r="Q26" s="1273"/>
      <c r="R26" s="1280">
        <f>IF(Q26&lt;&gt;"",M26, 0)</f>
        <v>0</v>
      </c>
      <c r="S26" s="1246"/>
      <c r="T26" s="1191">
        <f>IF(S26&lt;&gt;"",M26,0)</f>
        <v>0</v>
      </c>
      <c r="U26" s="1251"/>
      <c r="V26" s="1261">
        <f>IF(U26&lt;&gt;"", M26, 0)</f>
        <v>0</v>
      </c>
    </row>
    <row r="27" spans="1:22">
      <c r="A27" s="1181"/>
      <c r="B27" s="1181"/>
      <c r="C27" s="1181"/>
      <c r="D27" s="1181"/>
      <c r="E27" s="1181"/>
      <c r="F27" s="1181"/>
      <c r="G27" s="1181"/>
      <c r="H27" s="1181"/>
      <c r="I27" s="1181"/>
      <c r="J27" s="1181"/>
      <c r="K27" s="1181"/>
      <c r="L27" s="1182"/>
      <c r="M27" s="1182"/>
      <c r="N27" s="1183"/>
      <c r="O27" s="1293"/>
      <c r="P27" s="1296"/>
      <c r="Q27" s="1287"/>
      <c r="R27" s="1280"/>
      <c r="S27" s="1268"/>
      <c r="T27" s="1191"/>
      <c r="U27" s="1250"/>
      <c r="V27" s="1261"/>
    </row>
    <row r="28" spans="1:22">
      <c r="A28" s="1186"/>
      <c r="B28" s="1179" t="s">
        <v>304</v>
      </c>
      <c r="C28" s="1186" t="s">
        <v>2081</v>
      </c>
      <c r="D28" s="1186"/>
      <c r="E28" s="1186"/>
      <c r="F28" s="1186"/>
      <c r="G28" s="1186"/>
      <c r="H28" s="1186"/>
      <c r="I28" s="1186"/>
      <c r="J28" s="1186"/>
      <c r="K28" s="1174"/>
      <c r="L28" s="1179">
        <f>IF(K28&lt;&gt;"", M28, 0)</f>
        <v>0</v>
      </c>
      <c r="M28" s="1180">
        <v>6</v>
      </c>
      <c r="N28" s="1180"/>
      <c r="O28" s="1295"/>
      <c r="P28" s="1296">
        <f>IF(O28&lt;&gt;"", M28, 0)</f>
        <v>0</v>
      </c>
      <c r="Q28" s="1273"/>
      <c r="R28" s="1280">
        <f>IF(Q28&lt;&gt;"",M28, 0)</f>
        <v>0</v>
      </c>
      <c r="S28" s="1246"/>
      <c r="T28" s="1191">
        <f>IF(S28&lt;&gt;"",M28,0)</f>
        <v>0</v>
      </c>
      <c r="U28" s="1251"/>
      <c r="V28" s="1261">
        <f>IF(U28&lt;&gt;"", M28, 0)</f>
        <v>0</v>
      </c>
    </row>
    <row r="29" spans="1:22">
      <c r="A29" s="1186"/>
      <c r="B29" s="1186"/>
      <c r="C29" s="1186" t="s">
        <v>1310</v>
      </c>
      <c r="D29" s="1186"/>
      <c r="E29" s="1186"/>
      <c r="F29" s="1186"/>
      <c r="G29" s="1186"/>
      <c r="H29" s="1186"/>
      <c r="I29" s="1186"/>
      <c r="J29" s="1186"/>
      <c r="K29" s="1186"/>
      <c r="L29" s="1183"/>
      <c r="M29" s="1183"/>
      <c r="N29" s="1183"/>
      <c r="O29" s="1293"/>
      <c r="P29" s="1296"/>
      <c r="Q29" s="1278"/>
      <c r="R29" s="1280"/>
      <c r="S29" s="1268"/>
      <c r="T29" s="1191"/>
      <c r="U29" s="1250"/>
      <c r="V29" s="1261"/>
    </row>
    <row r="30" spans="1:22">
      <c r="A30" s="1186"/>
      <c r="B30" s="1186"/>
      <c r="C30" s="1186"/>
      <c r="D30" s="1186" t="s">
        <v>1311</v>
      </c>
      <c r="E30" s="1186"/>
      <c r="F30" s="1186"/>
      <c r="G30" s="1186"/>
      <c r="H30" s="1186"/>
      <c r="I30" s="1174"/>
      <c r="J30" s="1186"/>
      <c r="K30" s="1186"/>
      <c r="L30" s="1183"/>
      <c r="M30" s="1183"/>
      <c r="N30" s="1183"/>
      <c r="O30" s="1293"/>
      <c r="P30" s="1296"/>
      <c r="Q30" s="1278"/>
      <c r="R30" s="1280"/>
      <c r="S30" s="1268"/>
      <c r="T30" s="1191"/>
      <c r="U30" s="1250"/>
      <c r="V30" s="1261"/>
    </row>
    <row r="31" spans="1:22">
      <c r="A31" s="1186"/>
      <c r="B31" s="1186"/>
      <c r="C31" s="1186"/>
      <c r="D31" s="1186" t="s">
        <v>1312</v>
      </c>
      <c r="E31" s="1186"/>
      <c r="F31" s="1186"/>
      <c r="G31" s="1186"/>
      <c r="H31" s="1186"/>
      <c r="I31" s="1174"/>
      <c r="J31" s="1186"/>
      <c r="K31" s="1186"/>
      <c r="L31" s="1183"/>
      <c r="M31" s="1183"/>
      <c r="N31" s="1183"/>
      <c r="O31" s="1293"/>
      <c r="P31" s="1296"/>
      <c r="Q31" s="1278"/>
      <c r="R31" s="1280"/>
      <c r="S31" s="1268"/>
      <c r="T31" s="1191"/>
      <c r="U31" s="1250"/>
      <c r="V31" s="1261"/>
    </row>
    <row r="32" spans="1:22" ht="24.75" customHeight="1">
      <c r="A32" s="1186"/>
      <c r="B32" s="1186"/>
      <c r="C32" s="1186"/>
      <c r="D32" s="1554" t="s">
        <v>1313</v>
      </c>
      <c r="E32" s="1554"/>
      <c r="F32" s="1554"/>
      <c r="G32" s="1554"/>
      <c r="H32" s="1555"/>
      <c r="I32" s="1174"/>
      <c r="J32" s="1186"/>
      <c r="K32" s="1186"/>
      <c r="L32" s="1183"/>
      <c r="M32" s="1183"/>
      <c r="N32" s="1183"/>
      <c r="O32" s="1293"/>
      <c r="P32" s="1296"/>
      <c r="Q32" s="1278"/>
      <c r="R32" s="1280"/>
      <c r="S32" s="1268"/>
      <c r="T32" s="1191"/>
      <c r="U32" s="1250"/>
      <c r="V32" s="1261"/>
    </row>
    <row r="33" spans="1:22">
      <c r="A33" s="1153"/>
      <c r="B33" s="1186" t="s">
        <v>2162</v>
      </c>
      <c r="C33" s="1186"/>
      <c r="D33" s="1186"/>
      <c r="E33" s="1186"/>
      <c r="F33" s="1186"/>
      <c r="G33" s="1186"/>
      <c r="H33" s="1186"/>
      <c r="I33" s="1315"/>
      <c r="J33" s="1186"/>
      <c r="K33" s="1186"/>
      <c r="L33" s="1183"/>
      <c r="M33" s="1183"/>
      <c r="N33" s="1183"/>
      <c r="O33" s="1293"/>
      <c r="P33" s="1296"/>
      <c r="Q33" s="1278"/>
      <c r="R33" s="1280"/>
      <c r="S33" s="1268"/>
      <c r="T33" s="1191"/>
      <c r="U33" s="1250"/>
      <c r="V33" s="1261"/>
    </row>
    <row r="34" spans="1:22" ht="12.75" customHeight="1">
      <c r="A34" s="1186"/>
      <c r="B34" s="1186" t="s">
        <v>2161</v>
      </c>
      <c r="C34" s="1551"/>
      <c r="D34" s="1551"/>
      <c r="E34" s="1551"/>
      <c r="F34" s="1551"/>
      <c r="G34" s="1551"/>
      <c r="H34" s="1551"/>
      <c r="I34" s="1551"/>
      <c r="J34" s="1551"/>
      <c r="K34" s="1186"/>
      <c r="L34" s="1183"/>
      <c r="M34" s="1183"/>
      <c r="N34" s="1183"/>
      <c r="O34" s="1293"/>
      <c r="P34" s="1296"/>
      <c r="Q34" s="1278"/>
      <c r="R34" s="1280"/>
      <c r="S34" s="1268"/>
      <c r="T34" s="1191"/>
      <c r="U34" s="1250"/>
      <c r="V34" s="1261"/>
    </row>
    <row r="35" spans="1:22" ht="9" customHeight="1">
      <c r="A35" s="1181"/>
      <c r="B35" s="1181"/>
      <c r="C35" s="1181"/>
      <c r="D35" s="1181"/>
      <c r="E35" s="1181"/>
      <c r="F35" s="1181"/>
      <c r="G35" s="1181"/>
      <c r="H35" s="1181"/>
      <c r="I35" s="1181"/>
      <c r="J35" s="1181"/>
      <c r="K35" s="1181"/>
      <c r="L35" s="1182"/>
      <c r="M35" s="1182"/>
      <c r="N35" s="1183"/>
      <c r="O35" s="1293"/>
      <c r="P35" s="1296"/>
      <c r="Q35" s="1278"/>
      <c r="R35" s="1280"/>
      <c r="S35" s="1268"/>
      <c r="T35" s="1191"/>
      <c r="U35" s="1250"/>
      <c r="V35" s="1261"/>
    </row>
    <row r="36" spans="1:22">
      <c r="A36" s="1186"/>
      <c r="B36" s="1179" t="s">
        <v>229</v>
      </c>
      <c r="C36" s="1186" t="s">
        <v>2113</v>
      </c>
      <c r="D36" s="1186"/>
      <c r="E36" s="1186"/>
      <c r="F36" s="1186"/>
      <c r="G36" s="1186"/>
      <c r="H36" s="1186"/>
      <c r="I36" s="1186"/>
      <c r="J36" s="1186"/>
      <c r="K36" s="1186"/>
      <c r="L36" s="1183"/>
      <c r="M36" s="1183"/>
      <c r="N36" s="1183"/>
      <c r="O36" s="1293"/>
      <c r="P36" s="1296"/>
      <c r="Q36" s="1278"/>
      <c r="R36" s="1280"/>
      <c r="S36" s="1268"/>
      <c r="T36" s="1191"/>
      <c r="U36" s="1250"/>
      <c r="V36" s="1261"/>
    </row>
    <row r="37" spans="1:22">
      <c r="A37" s="1186"/>
      <c r="B37" s="1186"/>
      <c r="C37" s="1186"/>
      <c r="D37" s="1186"/>
      <c r="E37" s="1186"/>
      <c r="F37" s="1186"/>
      <c r="G37" s="1186"/>
      <c r="H37" s="1186"/>
      <c r="I37" s="1186"/>
      <c r="J37" s="1186"/>
      <c r="K37" s="1186"/>
      <c r="L37" s="1183"/>
      <c r="M37" s="1183"/>
      <c r="N37" s="1183"/>
      <c r="O37" s="1293"/>
      <c r="P37" s="1296"/>
      <c r="Q37" s="1278"/>
      <c r="R37" s="1280"/>
      <c r="S37" s="1268"/>
      <c r="T37" s="1191"/>
      <c r="U37" s="1250"/>
      <c r="V37" s="1261"/>
    </row>
    <row r="38" spans="1:22">
      <c r="A38" s="1186"/>
      <c r="B38" s="1186"/>
      <c r="C38" s="1186"/>
      <c r="D38" s="1230" t="s">
        <v>1890</v>
      </c>
      <c r="E38" s="1179" t="s">
        <v>1974</v>
      </c>
      <c r="F38" s="1179"/>
      <c r="G38" s="1186"/>
      <c r="H38" s="1186"/>
      <c r="I38" s="1186"/>
      <c r="J38" s="1186"/>
      <c r="K38" s="1174"/>
      <c r="L38" s="1179">
        <f>IF(K38&lt;&gt;"", M38, 0)</f>
        <v>0</v>
      </c>
      <c r="M38" s="1180">
        <v>2</v>
      </c>
      <c r="N38" s="1180"/>
      <c r="O38" s="1295"/>
      <c r="P38" s="1296">
        <f>IF(O38&lt;&gt;"", M38, 0)</f>
        <v>0</v>
      </c>
      <c r="Q38" s="1273"/>
      <c r="R38" s="1280">
        <f>IF(Q38&lt;&gt;"",M38, 0)</f>
        <v>0</v>
      </c>
      <c r="S38" s="1246"/>
      <c r="T38" s="1191">
        <f>IF(S38&lt;&gt;"",M38,0)</f>
        <v>0</v>
      </c>
      <c r="U38" s="1251"/>
      <c r="V38" s="1261">
        <f>IF(U38&lt;&gt;"", M38, 0)</f>
        <v>0</v>
      </c>
    </row>
    <row r="39" spans="1:22">
      <c r="A39" s="1186"/>
      <c r="B39" s="1186"/>
      <c r="C39" s="1186"/>
      <c r="D39" s="1230" t="s">
        <v>1892</v>
      </c>
      <c r="E39" s="1179" t="s">
        <v>1268</v>
      </c>
      <c r="F39" s="1179"/>
      <c r="G39" s="1186"/>
      <c r="H39" s="1186"/>
      <c r="I39" s="1186"/>
      <c r="J39" s="1186"/>
      <c r="K39" s="1174"/>
      <c r="L39" s="1179">
        <f>IF(K39&lt;&gt;"", M39, 0)</f>
        <v>0</v>
      </c>
      <c r="M39" s="1180">
        <v>4</v>
      </c>
      <c r="N39" s="1180"/>
      <c r="O39" s="1295"/>
      <c r="P39" s="1296">
        <f>IF(O39&lt;&gt;"", M39, 0)</f>
        <v>0</v>
      </c>
      <c r="Q39" s="1273"/>
      <c r="R39" s="1280">
        <f>IF(Q39&lt;&gt;"",M39, 0)</f>
        <v>0</v>
      </c>
      <c r="S39" s="1246"/>
      <c r="T39" s="1191">
        <f>IF(S39&lt;&gt;"",M39,0)</f>
        <v>0</v>
      </c>
      <c r="U39" s="1251"/>
      <c r="V39" s="1261">
        <f>IF(U39&lt;&gt;"", M39, 0)</f>
        <v>0</v>
      </c>
    </row>
    <row r="40" spans="1:22">
      <c r="A40" s="1187"/>
      <c r="B40" s="1187"/>
      <c r="C40" s="1187"/>
      <c r="D40" s="1230" t="s">
        <v>1894</v>
      </c>
      <c r="E40" s="1179" t="s">
        <v>1975</v>
      </c>
      <c r="F40" s="1179"/>
      <c r="G40" s="1187"/>
      <c r="H40" s="1187"/>
      <c r="I40" s="1187"/>
      <c r="J40" s="1187"/>
      <c r="K40" s="1174"/>
      <c r="L40" s="1179">
        <f>IF(K40&lt;&gt;"", M40, 0)</f>
        <v>0</v>
      </c>
      <c r="M40" s="1180">
        <v>6</v>
      </c>
      <c r="N40" s="1180"/>
      <c r="O40" s="1295"/>
      <c r="P40" s="1296">
        <f>IF(O40&lt;&gt;"", M40, 0)</f>
        <v>0</v>
      </c>
      <c r="Q40" s="1273"/>
      <c r="R40" s="1280">
        <f>IF(Q40&lt;&gt;"",M40, 0)</f>
        <v>0</v>
      </c>
      <c r="S40" s="1246"/>
      <c r="T40" s="1191">
        <f>IF(S40&lt;&gt;"",M40,0)</f>
        <v>0</v>
      </c>
      <c r="U40" s="1251"/>
      <c r="V40" s="1261">
        <f>IF(U40&lt;&gt;"", M40, 0)</f>
        <v>0</v>
      </c>
    </row>
    <row r="41" spans="1:22">
      <c r="A41" s="1187"/>
      <c r="B41" s="1187"/>
      <c r="C41" s="1187"/>
      <c r="D41" s="1179"/>
      <c r="E41" s="1179"/>
      <c r="F41" s="1179"/>
      <c r="G41" s="1187"/>
      <c r="H41" s="1187"/>
      <c r="I41" s="1187"/>
      <c r="J41" s="1187"/>
      <c r="K41" s="1179"/>
      <c r="L41" s="1179"/>
      <c r="M41" s="1180"/>
      <c r="N41" s="1180"/>
      <c r="O41" s="1293"/>
      <c r="P41" s="1296"/>
      <c r="Q41" s="1278"/>
      <c r="R41" s="1280"/>
      <c r="S41" s="1268"/>
      <c r="T41" s="1191"/>
      <c r="U41" s="1250"/>
      <c r="V41" s="1261"/>
    </row>
    <row r="42" spans="1:22" ht="55.5" customHeight="1">
      <c r="A42" s="1187"/>
      <c r="B42" s="1187"/>
      <c r="C42" s="1551" t="s">
        <v>2163</v>
      </c>
      <c r="D42" s="1551"/>
      <c r="E42" s="1551"/>
      <c r="F42" s="1551"/>
      <c r="G42" s="1551"/>
      <c r="H42" s="1551"/>
      <c r="I42" s="1551"/>
      <c r="J42" s="1551"/>
      <c r="K42" s="1179"/>
      <c r="L42" s="1179"/>
      <c r="M42" s="1180"/>
      <c r="N42" s="1180"/>
      <c r="O42" s="1293"/>
      <c r="P42" s="1296"/>
      <c r="Q42" s="1278"/>
      <c r="R42" s="1280"/>
      <c r="S42" s="1268"/>
      <c r="T42" s="1191"/>
      <c r="U42" s="1250"/>
      <c r="V42" s="1261"/>
    </row>
    <row r="43" spans="1:22" ht="6.75" customHeight="1">
      <c r="A43" s="1186"/>
      <c r="B43" s="1186"/>
      <c r="C43" s="1186"/>
      <c r="D43" s="1186"/>
      <c r="E43" s="1186"/>
      <c r="F43" s="1186"/>
      <c r="G43" s="1186"/>
      <c r="H43" s="1186"/>
      <c r="I43" s="1186"/>
      <c r="J43" s="1186"/>
      <c r="K43" s="1186"/>
      <c r="L43" s="1183"/>
      <c r="M43" s="1183"/>
      <c r="N43" s="1183"/>
      <c r="O43" s="1293"/>
      <c r="P43" s="1296"/>
      <c r="Q43" s="1278"/>
      <c r="R43" s="1280"/>
      <c r="S43" s="1268"/>
      <c r="T43" s="1191"/>
      <c r="U43" s="1250"/>
      <c r="V43" s="1261"/>
    </row>
    <row r="44" spans="1:22" ht="44.25" customHeight="1">
      <c r="A44" s="1223"/>
      <c r="B44" s="1223"/>
      <c r="C44" s="1558" t="s">
        <v>2114</v>
      </c>
      <c r="D44" s="1558"/>
      <c r="E44" s="1558"/>
      <c r="F44" s="1558"/>
      <c r="G44" s="1558"/>
      <c r="H44" s="1558"/>
      <c r="I44" s="1558"/>
      <c r="J44" s="1558"/>
      <c r="K44" s="1558"/>
      <c r="L44" s="1558"/>
      <c r="M44" s="1558"/>
      <c r="N44" s="1183"/>
      <c r="O44" s="1293"/>
      <c r="P44" s="1296"/>
      <c r="Q44" s="1278"/>
      <c r="R44" s="1280"/>
      <c r="S44" s="1268"/>
      <c r="T44" s="1191"/>
      <c r="U44" s="1250"/>
      <c r="V44" s="1261"/>
    </row>
    <row r="45" spans="1:22" ht="6.75" customHeight="1">
      <c r="A45" s="1186"/>
      <c r="B45" s="1186"/>
      <c r="C45" s="1186"/>
      <c r="D45" s="1186"/>
      <c r="E45" s="1186"/>
      <c r="F45" s="1186"/>
      <c r="G45" s="1186"/>
      <c r="H45" s="1186"/>
      <c r="I45" s="1186"/>
      <c r="J45" s="1186"/>
      <c r="K45" s="1186"/>
      <c r="L45" s="1183"/>
      <c r="M45" s="1183"/>
      <c r="N45" s="1183"/>
      <c r="O45" s="1293"/>
      <c r="P45" s="1296"/>
      <c r="Q45" s="1278"/>
      <c r="R45" s="1280"/>
      <c r="S45" s="1268"/>
      <c r="T45" s="1191"/>
      <c r="U45" s="1250"/>
      <c r="V45" s="1261"/>
    </row>
    <row r="46" spans="1:22" ht="12.75" customHeight="1">
      <c r="A46" s="1201"/>
      <c r="B46" s="1201" t="s">
        <v>230</v>
      </c>
      <c r="C46" s="1201" t="s">
        <v>2115</v>
      </c>
      <c r="D46" s="1201"/>
      <c r="E46" s="1201"/>
      <c r="F46" s="1201"/>
      <c r="G46" s="1201"/>
      <c r="H46" s="1201"/>
      <c r="I46" s="1201"/>
      <c r="J46" s="1201"/>
      <c r="K46" s="1201"/>
      <c r="L46" s="1233"/>
      <c r="M46" s="1233"/>
      <c r="N46" s="1183"/>
      <c r="O46" s="1293"/>
      <c r="P46" s="1296"/>
      <c r="Q46" s="1278"/>
      <c r="R46" s="1280"/>
      <c r="S46" s="1268"/>
      <c r="T46" s="1191"/>
      <c r="U46" s="1250"/>
      <c r="V46" s="1261"/>
    </row>
    <row r="47" spans="1:22" ht="12.75" customHeight="1">
      <c r="A47" s="1186"/>
      <c r="B47" s="1179"/>
      <c r="C47" s="1186"/>
      <c r="D47" s="1186"/>
      <c r="E47" s="1186"/>
      <c r="F47" s="1186"/>
      <c r="G47" s="1186"/>
      <c r="H47" s="1186"/>
      <c r="I47" s="1186"/>
      <c r="J47" s="1186"/>
      <c r="K47" s="1186"/>
      <c r="L47" s="1183"/>
      <c r="M47" s="1183"/>
      <c r="N47" s="1183"/>
      <c r="O47" s="1293"/>
      <c r="P47" s="1296"/>
      <c r="Q47" s="1278"/>
      <c r="R47" s="1280"/>
      <c r="S47" s="1268"/>
      <c r="T47" s="1191"/>
      <c r="U47" s="1250"/>
      <c r="V47" s="1261"/>
    </row>
    <row r="48" spans="1:22" ht="22.5" customHeight="1">
      <c r="A48" s="1186"/>
      <c r="B48" s="1179"/>
      <c r="C48" s="1554" t="s">
        <v>2077</v>
      </c>
      <c r="D48" s="1554"/>
      <c r="E48" s="1554"/>
      <c r="F48" s="1554"/>
      <c r="G48" s="1554"/>
      <c r="H48" s="1554"/>
      <c r="I48" s="1554"/>
      <c r="J48" s="1554"/>
      <c r="K48" s="1186"/>
      <c r="L48" s="1183"/>
      <c r="M48" s="1183"/>
      <c r="N48" s="1183"/>
      <c r="O48" s="1293"/>
      <c r="P48" s="1296"/>
      <c r="Q48" s="1278"/>
      <c r="R48" s="1280"/>
      <c r="S48" s="1268"/>
      <c r="T48" s="1191"/>
      <c r="U48" s="1250"/>
      <c r="V48" s="1261"/>
    </row>
    <row r="49" spans="1:22" ht="12.75" customHeight="1">
      <c r="A49" s="1186"/>
      <c r="B49" s="1179"/>
      <c r="C49" s="1314"/>
      <c r="D49" s="1314"/>
      <c r="E49" s="1314"/>
      <c r="F49" s="1314"/>
      <c r="G49" s="1314"/>
      <c r="H49" s="1314"/>
      <c r="I49" s="1314"/>
      <c r="J49" s="1314"/>
      <c r="K49" s="1181"/>
      <c r="L49" s="1183"/>
      <c r="M49" s="1183"/>
      <c r="N49" s="1183"/>
      <c r="O49" s="1293"/>
      <c r="P49" s="1296"/>
      <c r="Q49" s="1278"/>
      <c r="R49" s="1280"/>
      <c r="S49" s="1268"/>
      <c r="T49" s="1191"/>
      <c r="U49" s="1250"/>
      <c r="V49" s="1261"/>
    </row>
    <row r="50" spans="1:22" ht="12.75" customHeight="1">
      <c r="A50" s="1186"/>
      <c r="C50" s="1186" t="s">
        <v>2082</v>
      </c>
      <c r="D50" s="1186"/>
      <c r="E50" s="1186"/>
      <c r="F50" s="1186"/>
      <c r="G50" s="1223"/>
      <c r="H50" s="1223"/>
      <c r="I50" s="1223"/>
      <c r="J50" s="1223"/>
      <c r="K50" s="1174"/>
      <c r="L50" s="1179">
        <f>IF(K50&lt;&gt;"", M50, 0)</f>
        <v>0</v>
      </c>
      <c r="M50" s="1180">
        <v>2</v>
      </c>
      <c r="N50" s="1225"/>
      <c r="O50" s="1295"/>
      <c r="P50" s="1296">
        <f>IF(O50&lt;&gt;"", M50, 0)</f>
        <v>0</v>
      </c>
      <c r="Q50" s="1273"/>
      <c r="R50" s="1280">
        <f>IF(Q50&lt;&gt;"",M50, 0)</f>
        <v>0</v>
      </c>
      <c r="S50" s="1246"/>
      <c r="T50" s="1191">
        <f>IF(S50&lt;&gt;"",M50,0)</f>
        <v>0</v>
      </c>
      <c r="U50" s="1251"/>
      <c r="V50" s="1261">
        <f>IF(U50&lt;&gt;"", M50, 0)</f>
        <v>0</v>
      </c>
    </row>
    <row r="51" spans="1:22" ht="12.75" customHeight="1">
      <c r="A51" s="1186"/>
      <c r="B51" s="1179"/>
      <c r="C51" s="1195" t="s">
        <v>2083</v>
      </c>
      <c r="D51" s="1186"/>
      <c r="E51" s="1186"/>
      <c r="F51" s="1186"/>
      <c r="G51" s="1223"/>
      <c r="H51" s="1223"/>
      <c r="I51" s="1223"/>
      <c r="J51" s="1223"/>
      <c r="K51" s="1174"/>
      <c r="L51" s="1179">
        <f>IF(K51&lt;&gt;"", M51, 0)</f>
        <v>0</v>
      </c>
      <c r="M51" s="1180">
        <v>4</v>
      </c>
      <c r="N51" s="1225"/>
      <c r="O51" s="1295"/>
      <c r="P51" s="1296">
        <f>IF(O51&lt;&gt;"", M51, 0)</f>
        <v>0</v>
      </c>
      <c r="Q51" s="1273"/>
      <c r="R51" s="1280">
        <f>IF(Q51&lt;&gt;"",M51, 0)</f>
        <v>0</v>
      </c>
      <c r="S51" s="1246"/>
      <c r="T51" s="1191">
        <f>IF(S51&lt;&gt;"",M51,0)</f>
        <v>0</v>
      </c>
      <c r="U51" s="1251"/>
      <c r="V51" s="1261">
        <f>IF(U51&lt;&gt;"", M51, 0)</f>
        <v>0</v>
      </c>
    </row>
    <row r="52" spans="1:22" ht="12.75" customHeight="1">
      <c r="A52" s="1186"/>
      <c r="B52" s="1179"/>
      <c r="C52" s="1195"/>
      <c r="D52" s="1186"/>
      <c r="E52" s="1186"/>
      <c r="F52" s="1186"/>
      <c r="G52" s="1223"/>
      <c r="H52" s="1223"/>
      <c r="I52" s="1223"/>
      <c r="J52" s="1223"/>
      <c r="K52" s="1223"/>
      <c r="L52" s="1179"/>
      <c r="M52" s="1180"/>
      <c r="N52" s="1225"/>
      <c r="O52" s="1298"/>
      <c r="P52" s="1296"/>
      <c r="Q52" s="1282"/>
      <c r="R52" s="1280"/>
      <c r="S52" s="1270"/>
      <c r="T52" s="1191"/>
      <c r="U52" s="1253"/>
      <c r="V52" s="1261"/>
    </row>
    <row r="53" spans="1:22">
      <c r="A53" s="1223"/>
      <c r="B53" s="1223"/>
      <c r="C53" s="1186" t="s">
        <v>2084</v>
      </c>
      <c r="D53" s="1223"/>
      <c r="F53" s="1223"/>
      <c r="G53" s="1223"/>
      <c r="H53" s="1223"/>
      <c r="I53" s="1223"/>
      <c r="J53" s="1223"/>
      <c r="K53" s="1223"/>
      <c r="L53" s="1226"/>
      <c r="M53" s="1226"/>
      <c r="N53" s="1183"/>
      <c r="O53" s="1293"/>
      <c r="P53" s="1296"/>
      <c r="Q53" s="1278"/>
      <c r="R53" s="1280"/>
      <c r="S53" s="1268"/>
      <c r="T53" s="1191"/>
      <c r="U53" s="1250"/>
      <c r="V53" s="1261"/>
    </row>
    <row r="54" spans="1:22">
      <c r="A54" s="1223"/>
      <c r="B54" s="1223"/>
      <c r="C54" s="1223"/>
      <c r="D54" s="1223"/>
      <c r="E54" s="1186"/>
      <c r="F54" s="1223"/>
      <c r="G54" s="1223"/>
      <c r="H54" s="1223"/>
      <c r="I54" s="1223"/>
      <c r="J54" s="1223"/>
      <c r="K54" s="1223"/>
      <c r="L54" s="1226"/>
      <c r="M54" s="1226"/>
      <c r="N54" s="1183"/>
      <c r="O54" s="1293"/>
      <c r="P54" s="1296"/>
      <c r="Q54" s="1278"/>
      <c r="R54" s="1280"/>
      <c r="S54" s="1268"/>
      <c r="T54" s="1191"/>
      <c r="U54" s="1250"/>
      <c r="V54" s="1261"/>
    </row>
    <row r="55" spans="1:22">
      <c r="A55" s="1223"/>
      <c r="B55" s="1223"/>
      <c r="C55" s="1186" t="s">
        <v>2085</v>
      </c>
      <c r="D55" s="1223"/>
      <c r="F55" s="1223"/>
      <c r="G55" s="1223"/>
      <c r="H55" s="1223"/>
      <c r="I55" s="1223"/>
      <c r="J55" s="1223"/>
      <c r="K55" s="1223"/>
      <c r="L55" s="1226"/>
      <c r="M55" s="1226"/>
      <c r="N55" s="1183"/>
      <c r="O55" s="1293"/>
      <c r="P55" s="1296"/>
      <c r="Q55" s="1282"/>
      <c r="R55" s="1280"/>
      <c r="S55" s="1270"/>
      <c r="T55" s="1191"/>
      <c r="U55" s="1253"/>
      <c r="V55" s="1261"/>
    </row>
    <row r="56" spans="1:22">
      <c r="A56" s="1223"/>
      <c r="B56" s="1223"/>
      <c r="C56" s="1186" t="s">
        <v>2117</v>
      </c>
      <c r="D56" s="1223"/>
      <c r="F56" s="1223"/>
      <c r="G56" s="1223"/>
      <c r="H56" s="1223"/>
      <c r="I56" s="1223"/>
      <c r="J56" s="1223"/>
      <c r="K56" s="1223"/>
      <c r="L56" s="1226"/>
      <c r="M56" s="1226"/>
      <c r="N56" s="1183"/>
      <c r="O56" s="1298"/>
      <c r="P56" s="1296"/>
      <c r="Q56" s="1282"/>
      <c r="R56" s="1280"/>
      <c r="S56" s="1270"/>
      <c r="T56" s="1191"/>
      <c r="U56" s="1253"/>
      <c r="V56" s="1261"/>
    </row>
    <row r="57" spans="1:22">
      <c r="A57" s="1223"/>
      <c r="B57" s="1223"/>
      <c r="C57" s="1186" t="s">
        <v>2086</v>
      </c>
      <c r="D57" s="1223"/>
      <c r="F57" s="1223"/>
      <c r="G57" s="1223"/>
      <c r="H57" s="1223"/>
      <c r="I57" s="1223"/>
      <c r="J57" s="1223"/>
      <c r="K57" s="1223"/>
      <c r="L57" s="1226"/>
      <c r="M57" s="1226"/>
      <c r="N57" s="1183"/>
      <c r="O57" s="1293"/>
      <c r="P57" s="1296"/>
      <c r="Q57" s="1278"/>
      <c r="R57" s="1280"/>
      <c r="S57" s="1268"/>
      <c r="T57" s="1191"/>
      <c r="U57" s="1250"/>
      <c r="V57" s="1261"/>
    </row>
    <row r="58" spans="1:22">
      <c r="A58" s="1223"/>
      <c r="B58" s="1223"/>
      <c r="C58" s="1186" t="s">
        <v>2118</v>
      </c>
      <c r="D58" s="1223"/>
      <c r="F58" s="1223"/>
      <c r="G58" s="1223"/>
      <c r="H58" s="1223"/>
      <c r="I58" s="1223"/>
      <c r="J58" s="1223"/>
      <c r="K58" s="1223"/>
      <c r="L58" s="1226"/>
      <c r="M58" s="1226"/>
      <c r="N58" s="1183"/>
      <c r="O58" s="1293"/>
      <c r="P58" s="1296"/>
      <c r="Q58" s="1278"/>
      <c r="R58" s="1280"/>
      <c r="S58" s="1268"/>
      <c r="T58" s="1191"/>
      <c r="U58" s="1250"/>
      <c r="V58" s="1261"/>
    </row>
    <row r="59" spans="1:22">
      <c r="A59" s="1223"/>
      <c r="B59" s="1223"/>
      <c r="C59" s="1223"/>
      <c r="D59" s="1223"/>
      <c r="E59" s="1186"/>
      <c r="F59" s="1223"/>
      <c r="G59" s="1223"/>
      <c r="H59" s="1223"/>
      <c r="I59" s="1223"/>
      <c r="J59" s="1223"/>
      <c r="K59" s="1223"/>
      <c r="L59" s="1226"/>
      <c r="M59" s="1226"/>
      <c r="N59" s="1183"/>
      <c r="O59" s="1293"/>
      <c r="P59" s="1296"/>
      <c r="Q59" s="1278"/>
      <c r="R59" s="1280"/>
      <c r="S59" s="1268"/>
      <c r="T59" s="1191"/>
      <c r="U59" s="1250"/>
      <c r="V59" s="1261"/>
    </row>
    <row r="60" spans="1:22" ht="12.75" customHeight="1">
      <c r="A60" s="1223"/>
      <c r="B60" s="1223"/>
      <c r="C60" s="1314"/>
      <c r="D60" s="1314"/>
      <c r="E60" s="1314"/>
      <c r="F60" s="1314"/>
      <c r="G60" s="1314"/>
      <c r="H60" s="1314"/>
      <c r="I60" s="1314"/>
      <c r="J60" s="1314"/>
      <c r="K60" s="1314"/>
      <c r="L60" s="1314"/>
      <c r="M60" s="1314"/>
      <c r="N60" s="1183"/>
      <c r="O60" s="1293"/>
      <c r="P60" s="1296"/>
      <c r="Q60" s="1278"/>
      <c r="R60" s="1280"/>
      <c r="S60" s="1268"/>
      <c r="T60" s="1191"/>
      <c r="U60" s="1250"/>
      <c r="V60" s="1261"/>
    </row>
    <row r="61" spans="1:22">
      <c r="A61" s="1159"/>
      <c r="B61" s="1201" t="s">
        <v>175</v>
      </c>
      <c r="C61" s="1201" t="s">
        <v>2116</v>
      </c>
      <c r="D61" s="1201"/>
      <c r="E61" s="1159"/>
      <c r="F61" s="1159"/>
      <c r="G61" s="1159"/>
      <c r="H61" s="1159"/>
      <c r="I61" s="1159"/>
      <c r="J61" s="1159"/>
      <c r="K61" s="1159"/>
      <c r="L61" s="1158"/>
      <c r="M61" s="1158"/>
      <c r="N61" s="1183"/>
      <c r="O61" s="1293"/>
      <c r="P61" s="1296"/>
      <c r="Q61" s="1278"/>
      <c r="R61" s="1280"/>
      <c r="S61" s="1268"/>
      <c r="T61" s="1191"/>
      <c r="U61" s="1250"/>
      <c r="V61" s="1261"/>
    </row>
    <row r="62" spans="1:22">
      <c r="A62" s="1223"/>
      <c r="B62" s="1223"/>
      <c r="C62" s="1223"/>
      <c r="D62" s="1223"/>
      <c r="E62" s="1223"/>
      <c r="F62" s="1223"/>
      <c r="G62" s="1223"/>
      <c r="H62" s="1223"/>
      <c r="I62" s="1223"/>
      <c r="J62" s="1223"/>
      <c r="K62" s="1223"/>
      <c r="L62" s="1226"/>
      <c r="M62" s="1226"/>
      <c r="N62" s="1183"/>
      <c r="O62" s="1297"/>
      <c r="P62" s="1296"/>
      <c r="Q62" s="1281"/>
      <c r="R62" s="1280"/>
      <c r="S62" s="1269"/>
      <c r="T62" s="1191"/>
      <c r="U62" s="1252"/>
      <c r="V62" s="1261"/>
    </row>
    <row r="63" spans="1:22">
      <c r="A63" s="1223"/>
      <c r="B63" s="1223"/>
      <c r="C63" s="1223"/>
      <c r="D63" s="1230" t="s">
        <v>1890</v>
      </c>
      <c r="E63" s="1179" t="s">
        <v>1314</v>
      </c>
      <c r="F63" s="1179"/>
      <c r="G63" s="1186"/>
      <c r="H63" s="1186"/>
      <c r="I63" s="1186"/>
      <c r="J63" s="1186"/>
      <c r="K63" s="1174"/>
      <c r="L63" s="1179">
        <f>IF(K63&lt;&gt;"", M63, 0)</f>
        <v>0</v>
      </c>
      <c r="M63" s="1180">
        <v>8</v>
      </c>
      <c r="N63" s="1183"/>
      <c r="O63" s="1295"/>
      <c r="P63" s="1296">
        <f>IF(O63&lt;&gt;"", M63, 0)</f>
        <v>0</v>
      </c>
      <c r="Q63" s="1273"/>
      <c r="R63" s="1280">
        <f>IF(Q63&lt;&gt;"",M63, 0)</f>
        <v>0</v>
      </c>
      <c r="S63" s="1246"/>
      <c r="T63" s="1191">
        <f>IF(S63&lt;&gt;"",M63,0)</f>
        <v>0</v>
      </c>
      <c r="U63" s="1251"/>
      <c r="V63" s="1261">
        <f>IF(U63&lt;&gt;"", M63, 0)</f>
        <v>0</v>
      </c>
    </row>
    <row r="64" spans="1:22">
      <c r="A64" s="1223"/>
      <c r="B64" s="1223"/>
      <c r="C64" s="1223"/>
      <c r="D64" s="1223"/>
      <c r="E64" s="1186" t="s">
        <v>1363</v>
      </c>
      <c r="F64" s="1223"/>
      <c r="G64" s="1223"/>
      <c r="H64" s="1223"/>
      <c r="I64" s="1223"/>
      <c r="J64" s="1223"/>
      <c r="K64" s="1223"/>
      <c r="L64" s="1226"/>
      <c r="M64" s="1226"/>
      <c r="N64" s="1183"/>
      <c r="O64" s="1293"/>
      <c r="P64" s="1296"/>
      <c r="Q64" s="1278"/>
      <c r="R64" s="1280"/>
      <c r="S64" s="1268"/>
      <c r="T64" s="1191"/>
      <c r="U64" s="1250"/>
      <c r="V64" s="1261"/>
    </row>
    <row r="65" spans="1:22">
      <c r="A65" s="1223"/>
      <c r="B65" s="1223"/>
      <c r="C65" s="1223"/>
      <c r="D65" s="1223"/>
      <c r="E65" s="1186" t="s">
        <v>1362</v>
      </c>
      <c r="F65" s="1223"/>
      <c r="G65" s="1223"/>
      <c r="H65" s="1223"/>
      <c r="I65" s="1223"/>
      <c r="J65" s="1223"/>
      <c r="K65" s="1223"/>
      <c r="L65" s="1226"/>
      <c r="M65" s="1226"/>
      <c r="N65" s="1183"/>
      <c r="O65" s="1293"/>
      <c r="P65" s="1296"/>
      <c r="Q65" s="1278"/>
      <c r="R65" s="1280"/>
      <c r="S65" s="1268"/>
      <c r="T65" s="1191"/>
      <c r="U65" s="1250"/>
      <c r="V65" s="1261"/>
    </row>
    <row r="66" spans="1:22">
      <c r="A66" s="1223"/>
      <c r="B66" s="1223"/>
      <c r="C66" s="1223"/>
      <c r="D66" s="1223"/>
      <c r="E66" s="1186" t="s">
        <v>1364</v>
      </c>
      <c r="F66" s="1223"/>
      <c r="G66" s="1223"/>
      <c r="H66" s="1223"/>
      <c r="I66" s="1223"/>
      <c r="J66" s="1223"/>
      <c r="K66" s="1223"/>
      <c r="L66" s="1226"/>
      <c r="M66" s="1226"/>
      <c r="N66" s="1183"/>
      <c r="O66" s="1293"/>
      <c r="P66" s="1296"/>
      <c r="Q66" s="1278"/>
      <c r="R66" s="1280"/>
      <c r="S66" s="1268"/>
      <c r="T66" s="1191"/>
      <c r="U66" s="1250"/>
      <c r="V66" s="1261"/>
    </row>
    <row r="67" spans="1:22">
      <c r="A67" s="1223"/>
      <c r="B67" s="1223"/>
      <c r="C67" s="1223"/>
      <c r="D67" s="1223"/>
      <c r="E67" s="1223"/>
      <c r="F67" s="1223"/>
      <c r="G67" s="1223"/>
      <c r="H67" s="1223"/>
      <c r="I67" s="1223"/>
      <c r="J67" s="1223"/>
      <c r="K67" s="1223"/>
      <c r="L67" s="1226"/>
      <c r="M67" s="1226"/>
      <c r="N67" s="1183"/>
      <c r="O67" s="1293"/>
      <c r="P67" s="1296"/>
      <c r="Q67" s="1278"/>
      <c r="R67" s="1280"/>
      <c r="S67" s="1268"/>
      <c r="T67" s="1191"/>
      <c r="U67" s="1250"/>
      <c r="V67" s="1261"/>
    </row>
    <row r="68" spans="1:22">
      <c r="A68" s="1223"/>
      <c r="B68" s="1223"/>
      <c r="C68" s="1223"/>
      <c r="D68" s="1230" t="s">
        <v>1892</v>
      </c>
      <c r="E68" s="1179" t="s">
        <v>1365</v>
      </c>
      <c r="F68" s="1179"/>
      <c r="G68" s="1186"/>
      <c r="H68" s="1186"/>
      <c r="I68" s="1186"/>
      <c r="J68" s="1186"/>
      <c r="K68" s="1174"/>
      <c r="L68" s="1179">
        <f>IF(K68&lt;&gt;"", M68, 0)</f>
        <v>0</v>
      </c>
      <c r="M68" s="1180">
        <v>7</v>
      </c>
      <c r="N68" s="1183"/>
      <c r="O68" s="1295"/>
      <c r="P68" s="1296">
        <f>IF(O68&lt;&gt;"", M68, 0)</f>
        <v>0</v>
      </c>
      <c r="Q68" s="1273"/>
      <c r="R68" s="1280">
        <f>IF(Q68&lt;&gt;"",M68, 0)</f>
        <v>0</v>
      </c>
      <c r="S68" s="1246"/>
      <c r="T68" s="1191">
        <f>IF(S68&lt;&gt;"",M68,0)</f>
        <v>0</v>
      </c>
      <c r="U68" s="1251"/>
      <c r="V68" s="1261">
        <f>IF(U68&lt;&gt;"", M68, 0)</f>
        <v>0</v>
      </c>
    </row>
    <row r="69" spans="1:22">
      <c r="A69" s="1223"/>
      <c r="B69" s="1223"/>
      <c r="C69" s="1223"/>
      <c r="D69" s="1230" t="s">
        <v>1894</v>
      </c>
      <c r="E69" s="1179" t="s">
        <v>1366</v>
      </c>
      <c r="F69" s="1179"/>
      <c r="G69" s="1186"/>
      <c r="H69" s="1186"/>
      <c r="I69" s="1186"/>
      <c r="J69" s="1186"/>
      <c r="K69" s="1174"/>
      <c r="L69" s="1179">
        <f>IF(K69&lt;&gt;"", M69, 0)</f>
        <v>0</v>
      </c>
      <c r="M69" s="1180">
        <v>6</v>
      </c>
      <c r="N69" s="1183"/>
      <c r="O69" s="1295"/>
      <c r="P69" s="1296">
        <f>IF(O69&lt;&gt;"", M69, 0)</f>
        <v>0</v>
      </c>
      <c r="Q69" s="1273"/>
      <c r="R69" s="1280">
        <f>IF(Q69&lt;&gt;"",M69, 0)</f>
        <v>0</v>
      </c>
      <c r="S69" s="1246"/>
      <c r="T69" s="1191">
        <f>IF(S69&lt;&gt;"",M69,0)</f>
        <v>0</v>
      </c>
      <c r="U69" s="1251"/>
      <c r="V69" s="1261">
        <f>IF(U69&lt;&gt;"", M69, 0)</f>
        <v>0</v>
      </c>
    </row>
    <row r="70" spans="1:22">
      <c r="A70" s="1224"/>
      <c r="B70" s="1224"/>
      <c r="C70" s="1224"/>
      <c r="D70" s="1224"/>
      <c r="E70" s="1224"/>
      <c r="F70" s="1224"/>
      <c r="G70" s="1224"/>
      <c r="H70" s="1224"/>
      <c r="I70" s="1224"/>
      <c r="J70" s="1224"/>
      <c r="K70" s="1224"/>
      <c r="L70" s="1227"/>
      <c r="M70" s="1227"/>
      <c r="N70" s="1183"/>
      <c r="O70" s="1293"/>
      <c r="P70" s="1296"/>
      <c r="Q70" s="1278"/>
      <c r="R70" s="1280"/>
      <c r="S70" s="1268"/>
      <c r="T70" s="1191"/>
      <c r="U70" s="1250"/>
      <c r="V70" s="1261"/>
    </row>
    <row r="71" spans="1:22">
      <c r="A71" s="1223"/>
      <c r="B71" s="1179" t="s">
        <v>176</v>
      </c>
      <c r="C71" s="1186" t="s">
        <v>2157</v>
      </c>
      <c r="D71" s="1186"/>
      <c r="E71" s="1223"/>
      <c r="F71" s="1223"/>
      <c r="G71" s="1223"/>
      <c r="H71" s="1223"/>
      <c r="I71" s="1223"/>
      <c r="J71" s="1223"/>
      <c r="K71" s="1223"/>
      <c r="L71" s="1226"/>
      <c r="M71" s="1226"/>
      <c r="N71" s="1183"/>
      <c r="O71" s="1293"/>
      <c r="P71" s="1296"/>
      <c r="Q71" s="1278"/>
      <c r="R71" s="1280"/>
      <c r="S71" s="1268"/>
      <c r="T71" s="1191"/>
      <c r="U71" s="1250"/>
      <c r="V71" s="1261"/>
    </row>
    <row r="72" spans="1:22">
      <c r="A72" s="1223"/>
      <c r="B72" s="1223"/>
      <c r="C72" s="1223"/>
      <c r="D72" s="1223"/>
      <c r="E72" s="1223"/>
      <c r="F72" s="1223"/>
      <c r="G72" s="1223"/>
      <c r="H72" s="1223"/>
      <c r="I72" s="1223"/>
      <c r="J72" s="1223"/>
      <c r="K72" s="1223"/>
      <c r="L72" s="1226"/>
      <c r="M72" s="1226"/>
      <c r="N72" s="1183"/>
      <c r="O72" s="1293"/>
      <c r="P72" s="1296"/>
      <c r="Q72" s="1278"/>
      <c r="R72" s="1280"/>
      <c r="S72" s="1268"/>
      <c r="T72" s="1191"/>
      <c r="U72" s="1250"/>
      <c r="V72" s="1261"/>
    </row>
    <row r="73" spans="1:22">
      <c r="A73" s="1223"/>
      <c r="B73" s="1223"/>
      <c r="C73" s="1223"/>
      <c r="D73" s="1230" t="s">
        <v>1890</v>
      </c>
      <c r="E73" s="1179" t="s">
        <v>2158</v>
      </c>
      <c r="F73" s="1179"/>
      <c r="G73" s="1186"/>
      <c r="H73" s="1186"/>
      <c r="I73" s="1186"/>
      <c r="J73" s="1186"/>
      <c r="K73" s="1174"/>
      <c r="L73" s="1179">
        <f>IF(K73&lt;&gt;"", M73, 0)</f>
        <v>0</v>
      </c>
      <c r="M73" s="1180">
        <v>8</v>
      </c>
      <c r="N73" s="1183"/>
      <c r="O73" s="1295"/>
      <c r="P73" s="1296">
        <f>IF(O73&lt;&gt;"", M73, 0)</f>
        <v>0</v>
      </c>
      <c r="Q73" s="1273"/>
      <c r="R73" s="1280">
        <f>IF(Q73&lt;&gt;"",M73, 0)</f>
        <v>0</v>
      </c>
      <c r="S73" s="1246"/>
      <c r="T73" s="1191">
        <f>IF(S73&lt;&gt;"",M73,0)</f>
        <v>0</v>
      </c>
      <c r="U73" s="1251"/>
      <c r="V73" s="1261">
        <f>IF(U73&lt;&gt;"", M73, 0)</f>
        <v>0</v>
      </c>
    </row>
    <row r="74" spans="1:22">
      <c r="A74" s="1223"/>
      <c r="B74" s="1223"/>
      <c r="C74" s="1223"/>
      <c r="D74" s="1230" t="s">
        <v>1892</v>
      </c>
      <c r="E74" s="1186" t="s">
        <v>2159</v>
      </c>
      <c r="F74" s="1223"/>
      <c r="G74" s="1223"/>
      <c r="H74" s="1223"/>
      <c r="I74" s="1223"/>
      <c r="J74" s="1223"/>
      <c r="K74" s="1174"/>
      <c r="L74" s="1179">
        <f>IF(K74&lt;&gt;"", M74, 0)</f>
        <v>0</v>
      </c>
      <c r="M74" s="1180">
        <v>10</v>
      </c>
      <c r="N74" s="1183"/>
      <c r="O74" s="1295"/>
      <c r="P74" s="1296">
        <f>IF(O74&lt;&gt;"", M74, 0)</f>
        <v>0</v>
      </c>
      <c r="Q74" s="1273"/>
      <c r="R74" s="1280">
        <f>IF(Q74&lt;&gt;"",M74, 0)</f>
        <v>0</v>
      </c>
      <c r="S74" s="1246"/>
      <c r="T74" s="1191">
        <f>IF(S74&lt;&gt;"",M74,0)</f>
        <v>0</v>
      </c>
      <c r="U74" s="1251"/>
      <c r="V74" s="1261">
        <f>IF(U74&lt;&gt;"", M74, 0)</f>
        <v>0</v>
      </c>
    </row>
    <row r="75" spans="1:22">
      <c r="A75" s="1223"/>
      <c r="B75" s="1223"/>
      <c r="C75" s="1223"/>
      <c r="D75" s="1223"/>
      <c r="E75" s="1186"/>
      <c r="F75" s="1223"/>
      <c r="G75" s="1223"/>
      <c r="H75" s="1223"/>
      <c r="I75" s="1223"/>
      <c r="J75" s="1223"/>
      <c r="K75" s="1223"/>
      <c r="L75" s="1226"/>
      <c r="M75" s="1226"/>
      <c r="N75" s="1183"/>
      <c r="O75" s="1293"/>
      <c r="P75" s="1296"/>
      <c r="Q75" s="1278"/>
      <c r="R75" s="1280"/>
      <c r="S75" s="1268"/>
      <c r="T75" s="1191"/>
      <c r="U75" s="1250"/>
      <c r="V75" s="1261"/>
    </row>
    <row r="76" spans="1:22">
      <c r="A76" s="1223"/>
      <c r="B76" s="1223"/>
      <c r="C76" s="1186" t="s">
        <v>2084</v>
      </c>
      <c r="D76" s="1223"/>
      <c r="F76" s="1223"/>
      <c r="G76" s="1223"/>
      <c r="H76" s="1223"/>
      <c r="I76" s="1223"/>
      <c r="J76" s="1223"/>
      <c r="K76" s="1223"/>
      <c r="L76" s="1226"/>
      <c r="M76" s="1226"/>
      <c r="N76" s="1183"/>
      <c r="O76" s="1293"/>
      <c r="P76" s="1296"/>
      <c r="Q76" s="1278"/>
      <c r="R76" s="1280"/>
      <c r="S76" s="1268"/>
      <c r="T76" s="1191"/>
      <c r="U76" s="1250"/>
      <c r="V76" s="1261"/>
    </row>
    <row r="77" spans="1:22">
      <c r="A77" s="1223"/>
      <c r="B77" s="1223"/>
      <c r="C77" s="1186"/>
      <c r="D77" s="1223"/>
      <c r="F77" s="1223"/>
      <c r="G77" s="1223"/>
      <c r="H77" s="1223"/>
      <c r="I77" s="1223"/>
      <c r="J77" s="1223"/>
      <c r="K77" s="1223"/>
      <c r="L77" s="1226"/>
      <c r="M77" s="1226"/>
      <c r="N77" s="1183"/>
      <c r="O77" s="1293"/>
      <c r="P77" s="1296"/>
      <c r="Q77" s="1278"/>
      <c r="R77" s="1280"/>
      <c r="S77" s="1268"/>
      <c r="T77" s="1191"/>
      <c r="U77" s="1250"/>
      <c r="V77" s="1261"/>
    </row>
    <row r="78" spans="1:22">
      <c r="A78" s="1223"/>
      <c r="B78" s="1223"/>
      <c r="C78" s="1186" t="s">
        <v>2085</v>
      </c>
      <c r="D78" s="1223"/>
      <c r="F78" s="1223"/>
      <c r="G78" s="1223"/>
      <c r="H78" s="1223"/>
      <c r="I78" s="1223"/>
      <c r="J78" s="1223"/>
      <c r="K78" s="1223"/>
      <c r="L78" s="1226"/>
      <c r="M78" s="1226"/>
      <c r="N78" s="1183"/>
      <c r="O78" s="1293"/>
      <c r="P78" s="1296"/>
      <c r="Q78" s="1282"/>
      <c r="R78" s="1280"/>
      <c r="S78" s="1270"/>
      <c r="T78" s="1191"/>
      <c r="U78" s="1253"/>
      <c r="V78" s="1261"/>
    </row>
    <row r="79" spans="1:22">
      <c r="A79" s="1223"/>
      <c r="B79" s="1223"/>
      <c r="C79" s="1186" t="s">
        <v>2117</v>
      </c>
      <c r="D79" s="1223"/>
      <c r="F79" s="1223"/>
      <c r="G79" s="1223"/>
      <c r="H79" s="1223"/>
      <c r="I79" s="1223"/>
      <c r="J79" s="1223"/>
      <c r="K79" s="1223"/>
      <c r="L79" s="1226"/>
      <c r="M79" s="1226"/>
      <c r="N79" s="1183"/>
      <c r="O79" s="1298"/>
      <c r="P79" s="1296"/>
      <c r="Q79" s="1282"/>
      <c r="R79" s="1280"/>
      <c r="S79" s="1270"/>
      <c r="T79" s="1191"/>
      <c r="U79" s="1253"/>
      <c r="V79" s="1261"/>
    </row>
    <row r="80" spans="1:22">
      <c r="A80" s="1223"/>
      <c r="B80" s="1223"/>
      <c r="C80" s="1186" t="s">
        <v>2086</v>
      </c>
      <c r="D80" s="1223"/>
      <c r="F80" s="1223"/>
      <c r="G80" s="1223"/>
      <c r="H80" s="1223"/>
      <c r="I80" s="1223"/>
      <c r="J80" s="1223"/>
      <c r="K80" s="1223"/>
      <c r="L80" s="1226"/>
      <c r="M80" s="1226"/>
      <c r="N80" s="1183"/>
      <c r="O80" s="1293"/>
      <c r="P80" s="1296"/>
      <c r="Q80" s="1278"/>
      <c r="R80" s="1280"/>
      <c r="S80" s="1268"/>
      <c r="T80" s="1191"/>
      <c r="U80" s="1250"/>
      <c r="V80" s="1261"/>
    </row>
    <row r="81" spans="1:22">
      <c r="A81" s="1223"/>
      <c r="B81" s="1223"/>
      <c r="C81" s="1186" t="s">
        <v>2087</v>
      </c>
      <c r="D81" s="1223"/>
      <c r="F81" s="1223"/>
      <c r="G81" s="1223"/>
      <c r="H81" s="1223"/>
      <c r="I81" s="1223"/>
      <c r="J81" s="1223"/>
      <c r="K81" s="1223"/>
      <c r="L81" s="1226"/>
      <c r="M81" s="1226"/>
      <c r="N81" s="1183"/>
      <c r="O81" s="1293"/>
      <c r="P81" s="1296"/>
      <c r="Q81" s="1278"/>
      <c r="R81" s="1280"/>
      <c r="S81" s="1268"/>
      <c r="T81" s="1191"/>
      <c r="U81" s="1250"/>
      <c r="V81" s="1261"/>
    </row>
    <row r="82" spans="1:22">
      <c r="A82" s="1223"/>
      <c r="B82" s="1223"/>
      <c r="C82" s="1186"/>
      <c r="D82" s="1223"/>
      <c r="F82" s="1223"/>
      <c r="G82" s="1223"/>
      <c r="H82" s="1223"/>
      <c r="I82" s="1223"/>
      <c r="J82" s="1223"/>
      <c r="K82" s="1223"/>
      <c r="L82" s="1226"/>
      <c r="M82" s="1226"/>
      <c r="N82" s="1183"/>
      <c r="O82" s="1293"/>
      <c r="P82" s="1296"/>
      <c r="Q82" s="1278"/>
      <c r="R82" s="1280"/>
      <c r="S82" s="1268"/>
      <c r="T82" s="1191"/>
      <c r="U82" s="1250"/>
      <c r="V82" s="1261"/>
    </row>
    <row r="83" spans="1:22">
      <c r="A83" s="1159"/>
      <c r="B83" s="1201" t="s">
        <v>177</v>
      </c>
      <c r="C83" s="1201" t="s">
        <v>2119</v>
      </c>
      <c r="D83" s="1201"/>
      <c r="E83" s="1159"/>
      <c r="F83" s="1159"/>
      <c r="G83" s="1159"/>
      <c r="H83" s="1159"/>
      <c r="I83" s="1159"/>
      <c r="J83" s="1159"/>
      <c r="K83" s="1159"/>
      <c r="L83" s="1158"/>
      <c r="M83" s="1158"/>
      <c r="N83" s="1183"/>
      <c r="O83" s="1293"/>
      <c r="P83" s="1296"/>
      <c r="Q83" s="1278"/>
      <c r="R83" s="1280"/>
      <c r="S83" s="1268"/>
      <c r="T83" s="1191"/>
      <c r="U83" s="1250"/>
      <c r="V83" s="1261"/>
    </row>
    <row r="84" spans="1:22">
      <c r="A84" s="1223"/>
      <c r="B84" s="1223"/>
      <c r="C84" s="1223"/>
      <c r="D84" s="1223"/>
      <c r="E84" s="1223"/>
      <c r="F84" s="1223"/>
      <c r="G84" s="1223"/>
      <c r="H84" s="1223"/>
      <c r="I84" s="1223"/>
      <c r="J84" s="1223"/>
      <c r="K84" s="1223"/>
      <c r="L84" s="1226"/>
      <c r="M84" s="1226"/>
      <c r="N84" s="1183"/>
      <c r="O84" s="1293"/>
      <c r="P84" s="1296"/>
      <c r="Q84" s="1278"/>
      <c r="R84" s="1280"/>
      <c r="S84" s="1268"/>
      <c r="T84" s="1191"/>
      <c r="U84" s="1250"/>
      <c r="V84" s="1261"/>
    </row>
    <row r="85" spans="1:22">
      <c r="A85" s="1223"/>
      <c r="B85" s="1223"/>
      <c r="C85" s="1223"/>
      <c r="D85" s="1186" t="s">
        <v>1890</v>
      </c>
      <c r="E85" s="1179" t="s">
        <v>2120</v>
      </c>
      <c r="F85" s="1223"/>
      <c r="G85" s="1223"/>
      <c r="H85" s="1223"/>
      <c r="I85" s="1223"/>
      <c r="J85" s="1223"/>
      <c r="K85" s="1174"/>
      <c r="L85" s="1179">
        <f>IF(K85&lt;&gt;"", M85, 0)</f>
        <v>0</v>
      </c>
      <c r="M85" s="1180">
        <v>6</v>
      </c>
      <c r="N85" s="1183"/>
      <c r="O85" s="1295"/>
      <c r="P85" s="1296">
        <f>IF(O85&lt;&gt;"", M85, 0)</f>
        <v>0</v>
      </c>
      <c r="Q85" s="1273"/>
      <c r="R85" s="1280">
        <f>IF(Q85&lt;&gt;"",M85, 0)</f>
        <v>0</v>
      </c>
      <c r="S85" s="1246"/>
      <c r="T85" s="1191">
        <f>IF(S85&lt;&gt;"",M85,0)</f>
        <v>0</v>
      </c>
      <c r="U85" s="1251"/>
      <c r="V85" s="1261">
        <f>IF(U85&lt;&gt;"", M85, 0)</f>
        <v>0</v>
      </c>
    </row>
    <row r="86" spans="1:22">
      <c r="A86" s="1223"/>
      <c r="B86" s="1223"/>
      <c r="C86" s="1223"/>
      <c r="D86" s="1186"/>
      <c r="E86" s="1179" t="s">
        <v>2165</v>
      </c>
      <c r="F86" s="1223"/>
      <c r="G86" s="1223"/>
      <c r="H86" s="1223"/>
      <c r="I86" s="1223"/>
      <c r="J86" s="1223"/>
      <c r="K86" s="1179"/>
      <c r="L86" s="1179"/>
      <c r="M86" s="1180"/>
      <c r="N86" s="1183"/>
      <c r="O86" s="1295"/>
      <c r="P86" s="1296"/>
      <c r="Q86" s="1273"/>
      <c r="R86" s="1280"/>
      <c r="S86" s="1246"/>
      <c r="T86" s="1191"/>
      <c r="U86" s="1251"/>
      <c r="V86" s="1261"/>
    </row>
    <row r="87" spans="1:22">
      <c r="A87" s="1223"/>
      <c r="B87" s="1223"/>
      <c r="C87" s="1223"/>
      <c r="D87" s="1186" t="s">
        <v>1892</v>
      </c>
      <c r="E87" s="1179" t="s">
        <v>2168</v>
      </c>
      <c r="F87" s="1223"/>
      <c r="G87" s="1223"/>
      <c r="H87" s="1223"/>
      <c r="I87" s="1223"/>
      <c r="J87" s="1223"/>
      <c r="K87" s="1174"/>
      <c r="L87" s="1179">
        <f>IF(K87&lt;&gt;"", M87, 0)</f>
        <v>0</v>
      </c>
      <c r="M87" s="1180">
        <v>8</v>
      </c>
      <c r="N87" s="1183"/>
      <c r="O87" s="1295"/>
      <c r="P87" s="1296">
        <f>IF(O87&lt;&gt;"", M87, 0)</f>
        <v>0</v>
      </c>
      <c r="Q87" s="1273"/>
      <c r="R87" s="1280">
        <f>IF(Q87&lt;&gt;"",M87, 0)</f>
        <v>0</v>
      </c>
      <c r="S87" s="1246"/>
      <c r="T87" s="1191">
        <f>IF(S87&lt;&gt;"",M87,0)</f>
        <v>0</v>
      </c>
      <c r="U87" s="1251"/>
      <c r="V87" s="1261">
        <f>IF(U87&lt;&gt;"", M87, 0)</f>
        <v>0</v>
      </c>
    </row>
    <row r="88" spans="1:22">
      <c r="A88" s="1223"/>
      <c r="B88" s="1223"/>
      <c r="C88" s="1223"/>
      <c r="D88" s="1186"/>
      <c r="E88" s="1179" t="s">
        <v>2166</v>
      </c>
      <c r="F88" s="1223"/>
      <c r="G88" s="1223"/>
      <c r="H88" s="1223"/>
      <c r="I88" s="1223"/>
      <c r="J88" s="1223"/>
      <c r="K88" s="1179"/>
      <c r="L88" s="1179"/>
      <c r="M88" s="1180"/>
      <c r="N88" s="1183"/>
      <c r="O88" s="1295"/>
      <c r="P88" s="1296"/>
      <c r="Q88" s="1273"/>
      <c r="R88" s="1280"/>
      <c r="S88" s="1246"/>
      <c r="T88" s="1191"/>
      <c r="U88" s="1251"/>
      <c r="V88" s="1261"/>
    </row>
    <row r="89" spans="1:22">
      <c r="A89" s="1223"/>
      <c r="B89" s="1223"/>
      <c r="C89" s="1223"/>
      <c r="D89" s="1186" t="s">
        <v>1894</v>
      </c>
      <c r="E89" s="1179" t="s">
        <v>2167</v>
      </c>
      <c r="F89" s="1223"/>
      <c r="G89" s="1223"/>
      <c r="H89" s="1223"/>
      <c r="I89" s="1223"/>
      <c r="J89" s="1223"/>
      <c r="K89" s="1174"/>
      <c r="L89" s="1179">
        <f>IF(K89&lt;&gt;"", M89, 0)</f>
        <v>0</v>
      </c>
      <c r="M89" s="1180">
        <v>10</v>
      </c>
      <c r="N89" s="1183"/>
      <c r="O89" s="1295"/>
      <c r="P89" s="1296">
        <f>IF(O89&lt;&gt;"", M89, 0)</f>
        <v>0</v>
      </c>
      <c r="Q89" s="1273"/>
      <c r="R89" s="1280">
        <f>IF(Q89&lt;&gt;"",M89, 0)</f>
        <v>0</v>
      </c>
      <c r="S89" s="1246"/>
      <c r="T89" s="1191">
        <f>IF(S89&lt;&gt;"",M89,0)</f>
        <v>0</v>
      </c>
      <c r="U89" s="1251"/>
      <c r="V89" s="1261">
        <f>IF(U89&lt;&gt;"", M89, 0)</f>
        <v>0</v>
      </c>
    </row>
    <row r="90" spans="1:22">
      <c r="A90" s="1223"/>
      <c r="B90" s="1223"/>
      <c r="C90" s="1223"/>
      <c r="D90" s="1186"/>
      <c r="E90" s="1179" t="s">
        <v>2164</v>
      </c>
      <c r="F90" s="1223"/>
      <c r="G90" s="1223"/>
      <c r="H90" s="1223"/>
      <c r="I90" s="1223"/>
      <c r="J90" s="1223"/>
      <c r="K90" s="1179"/>
      <c r="L90" s="1179"/>
      <c r="M90" s="1180"/>
      <c r="N90" s="1183"/>
      <c r="O90" s="1295"/>
      <c r="P90" s="1296"/>
      <c r="Q90" s="1273"/>
      <c r="R90" s="1280"/>
      <c r="S90" s="1246"/>
      <c r="T90" s="1191"/>
      <c r="U90" s="1251"/>
      <c r="V90" s="1261"/>
    </row>
    <row r="91" spans="1:22">
      <c r="A91" s="1181"/>
      <c r="B91" s="1181"/>
      <c r="C91" s="1181"/>
      <c r="D91" s="1181"/>
      <c r="E91" s="1181"/>
      <c r="F91" s="1181"/>
      <c r="G91" s="1181"/>
      <c r="H91" s="1181"/>
      <c r="I91" s="1181"/>
      <c r="J91" s="1181"/>
      <c r="K91" s="1181"/>
      <c r="L91" s="1182"/>
      <c r="M91" s="1182"/>
      <c r="N91" s="1183"/>
      <c r="O91" s="1293"/>
      <c r="P91" s="1296"/>
      <c r="Q91" s="1278"/>
      <c r="R91" s="1280"/>
      <c r="S91" s="1268"/>
      <c r="T91" s="1191"/>
      <c r="U91" s="1250"/>
      <c r="V91" s="1261"/>
    </row>
    <row r="92" spans="1:22">
      <c r="A92" s="1223"/>
      <c r="B92" s="1223"/>
      <c r="C92" s="1223"/>
      <c r="D92" s="1223"/>
      <c r="E92" s="1223"/>
      <c r="F92" s="1223"/>
      <c r="G92" s="1223"/>
      <c r="H92" s="1223"/>
      <c r="I92" s="1223"/>
      <c r="J92" s="1223"/>
      <c r="K92" s="1223"/>
      <c r="L92" s="1226"/>
      <c r="M92" s="1226"/>
      <c r="N92" s="1183"/>
      <c r="O92" s="1293"/>
      <c r="P92" s="1296"/>
      <c r="Q92" s="1278"/>
      <c r="R92" s="1280"/>
      <c r="S92" s="1268"/>
      <c r="T92" s="1191"/>
      <c r="U92" s="1250"/>
      <c r="V92" s="1261"/>
    </row>
    <row r="93" spans="1:22">
      <c r="A93" s="1177" t="s">
        <v>920</v>
      </c>
      <c r="B93" s="1178" t="s">
        <v>2121</v>
      </c>
      <c r="C93" s="1186"/>
      <c r="D93" s="1186"/>
      <c r="E93" s="1186"/>
      <c r="F93" s="1186"/>
      <c r="G93" s="1186"/>
      <c r="H93" s="1186"/>
      <c r="I93" s="1186"/>
      <c r="J93" s="1186"/>
      <c r="K93" s="1186"/>
      <c r="L93" s="1183"/>
      <c r="M93" s="1183"/>
      <c r="N93" s="1183"/>
      <c r="O93" s="1293"/>
      <c r="P93" s="1296"/>
      <c r="Q93" s="1278"/>
      <c r="R93" s="1280"/>
      <c r="S93" s="1268"/>
      <c r="T93" s="1191"/>
      <c r="U93" s="1250"/>
      <c r="V93" s="1261"/>
    </row>
    <row r="94" spans="1:22">
      <c r="A94" s="1181"/>
      <c r="B94" s="1181"/>
      <c r="C94" s="1181"/>
      <c r="D94" s="1181"/>
      <c r="E94" s="1181"/>
      <c r="F94" s="1181"/>
      <c r="G94" s="1181"/>
      <c r="H94" s="1181"/>
      <c r="I94" s="1181"/>
      <c r="J94" s="1181"/>
      <c r="K94" s="1181"/>
      <c r="L94" s="1182"/>
      <c r="M94" s="1182"/>
      <c r="N94" s="1183"/>
      <c r="O94" s="1293"/>
      <c r="P94" s="1296"/>
      <c r="Q94" s="1278"/>
      <c r="R94" s="1280"/>
      <c r="S94" s="1268"/>
      <c r="T94" s="1191"/>
      <c r="U94" s="1250"/>
      <c r="V94" s="1261"/>
    </row>
    <row r="95" spans="1:22" ht="12.75" customHeight="1">
      <c r="A95" s="1186"/>
      <c r="B95" s="1186" t="s">
        <v>303</v>
      </c>
      <c r="C95" s="1556" t="s">
        <v>2122</v>
      </c>
      <c r="D95" s="1556"/>
      <c r="E95" s="1556"/>
      <c r="F95" s="1556"/>
      <c r="G95" s="1556"/>
      <c r="H95" s="1556"/>
      <c r="I95" s="1556"/>
      <c r="J95" s="1556"/>
      <c r="K95" s="1556"/>
      <c r="L95" s="1556"/>
      <c r="M95" s="1556"/>
      <c r="N95" s="1190"/>
      <c r="O95" s="1293"/>
      <c r="P95" s="1296"/>
      <c r="Q95" s="1278"/>
      <c r="R95" s="1280"/>
      <c r="S95" s="1268"/>
      <c r="T95" s="1191"/>
      <c r="U95" s="1250"/>
      <c r="V95" s="1261"/>
    </row>
    <row r="96" spans="1:22" ht="12.75" customHeight="1">
      <c r="A96" s="1186"/>
      <c r="B96" s="1186"/>
      <c r="C96" s="1557"/>
      <c r="D96" s="1557"/>
      <c r="E96" s="1557"/>
      <c r="F96" s="1557"/>
      <c r="G96" s="1557"/>
      <c r="H96" s="1557"/>
      <c r="I96" s="1557"/>
      <c r="J96" s="1557"/>
      <c r="K96" s="1557"/>
      <c r="L96" s="1557"/>
      <c r="M96" s="1557"/>
      <c r="N96" s="1190"/>
      <c r="O96" s="1293"/>
      <c r="P96" s="1296"/>
      <c r="Q96" s="1278"/>
      <c r="R96" s="1280"/>
      <c r="S96" s="1268"/>
      <c r="T96" s="1191"/>
      <c r="U96" s="1250"/>
      <c r="V96" s="1261"/>
    </row>
    <row r="97" spans="1:22">
      <c r="A97" s="1186"/>
      <c r="B97" s="1186"/>
      <c r="C97" s="1184"/>
      <c r="D97" s="1184"/>
      <c r="E97" s="1184"/>
      <c r="F97" s="1184"/>
      <c r="G97" s="1184"/>
      <c r="H97" s="1184"/>
      <c r="I97" s="1184"/>
      <c r="J97" s="1184"/>
      <c r="K97" s="1188"/>
      <c r="L97" s="1189"/>
      <c r="M97" s="1190"/>
      <c r="N97" s="1190"/>
      <c r="O97" s="1293"/>
      <c r="P97" s="1296"/>
      <c r="Q97" s="1278"/>
      <c r="R97" s="1280"/>
      <c r="S97" s="1268"/>
      <c r="T97" s="1191"/>
      <c r="U97" s="1250"/>
      <c r="V97" s="1261"/>
    </row>
    <row r="98" spans="1:22">
      <c r="A98" s="1187"/>
      <c r="B98" s="1186"/>
      <c r="C98" s="1179" t="s">
        <v>1890</v>
      </c>
      <c r="D98" s="1186" t="s">
        <v>274</v>
      </c>
      <c r="E98" s="1191"/>
      <c r="F98" s="1186"/>
      <c r="G98" s="1174"/>
      <c r="H98" s="1186"/>
      <c r="I98" s="1186"/>
      <c r="J98" s="1186"/>
      <c r="K98" s="1188"/>
      <c r="L98" s="1189"/>
      <c r="M98" s="1190"/>
      <c r="N98" s="1190"/>
      <c r="O98" s="1293"/>
      <c r="P98" s="1296"/>
      <c r="Q98" s="1278"/>
      <c r="R98" s="1280"/>
      <c r="S98" s="1268"/>
      <c r="T98" s="1191"/>
      <c r="U98" s="1250"/>
      <c r="V98" s="1261"/>
    </row>
    <row r="99" spans="1:22">
      <c r="A99" s="1187"/>
      <c r="B99" s="1186"/>
      <c r="C99" s="1179" t="s">
        <v>1892</v>
      </c>
      <c r="D99" s="1192" t="s">
        <v>1776</v>
      </c>
      <c r="E99" s="1191"/>
      <c r="F99" s="1186"/>
      <c r="G99" s="1174"/>
      <c r="H99" s="1186"/>
      <c r="I99" s="1186"/>
      <c r="J99" s="1186"/>
      <c r="K99" s="1188"/>
      <c r="L99" s="1189"/>
      <c r="M99" s="1190"/>
      <c r="N99" s="1190"/>
      <c r="O99" s="1293"/>
      <c r="P99" s="1296"/>
      <c r="Q99" s="1278"/>
      <c r="R99" s="1280"/>
      <c r="S99" s="1268"/>
      <c r="T99" s="1191"/>
      <c r="U99" s="1250"/>
      <c r="V99" s="1261"/>
    </row>
    <row r="100" spans="1:22" ht="12.75" customHeight="1">
      <c r="A100" s="1187"/>
      <c r="B100" s="1186"/>
      <c r="C100" s="1179" t="s">
        <v>1894</v>
      </c>
      <c r="D100" s="1553" t="s">
        <v>1777</v>
      </c>
      <c r="E100" s="1553"/>
      <c r="F100" s="1553"/>
      <c r="G100" s="1174"/>
      <c r="H100" s="1186"/>
      <c r="I100" s="1186"/>
      <c r="J100" s="1186"/>
      <c r="K100" s="1188"/>
      <c r="L100" s="1189"/>
      <c r="M100" s="1190"/>
      <c r="N100" s="1190"/>
      <c r="O100" s="1293"/>
      <c r="P100" s="1296"/>
      <c r="Q100" s="1278"/>
      <c r="R100" s="1280"/>
      <c r="S100" s="1268"/>
      <c r="T100" s="1191"/>
      <c r="U100" s="1250"/>
      <c r="V100" s="1261"/>
    </row>
    <row r="101" spans="1:22">
      <c r="A101" s="1187"/>
      <c r="B101" s="1186"/>
      <c r="C101" s="1186"/>
      <c r="D101" s="1553"/>
      <c r="E101" s="1553"/>
      <c r="F101" s="1553"/>
      <c r="G101" s="1186"/>
      <c r="H101" s="1186"/>
      <c r="I101" s="1186"/>
      <c r="J101" s="1186"/>
      <c r="K101" s="1188"/>
      <c r="L101" s="1189"/>
      <c r="M101" s="1190"/>
      <c r="N101" s="1190"/>
      <c r="O101" s="1298"/>
      <c r="P101" s="1296"/>
      <c r="Q101" s="1282"/>
      <c r="R101" s="1280"/>
      <c r="S101" s="1270"/>
      <c r="T101" s="1191"/>
      <c r="U101" s="1253"/>
      <c r="V101" s="1261"/>
    </row>
    <row r="102" spans="1:22">
      <c r="A102" s="1187"/>
      <c r="B102" s="1187"/>
      <c r="C102" s="1187"/>
      <c r="D102" s="1193" t="s">
        <v>1944</v>
      </c>
      <c r="E102" s="1191" t="s">
        <v>2088</v>
      </c>
      <c r="F102" s="1187"/>
      <c r="G102" s="1187"/>
      <c r="H102" s="1187"/>
      <c r="I102" s="1187"/>
      <c r="J102" s="1187"/>
      <c r="K102" s="1174"/>
      <c r="L102" s="1179">
        <f>IF(K102&lt;&gt;"", M102, 0)</f>
        <v>0</v>
      </c>
      <c r="M102" s="1180">
        <v>5</v>
      </c>
      <c r="N102" s="1180"/>
      <c r="O102" s="1295"/>
      <c r="P102" s="1296">
        <f>IF(O102&lt;&gt;"", M102, 0)</f>
        <v>0</v>
      </c>
      <c r="Q102" s="1273"/>
      <c r="R102" s="1280">
        <f>IF(Q102&lt;&gt;"",M102, 0)</f>
        <v>0</v>
      </c>
      <c r="S102" s="1246"/>
      <c r="T102" s="1191">
        <f>IF(S102&lt;&gt;"",M102,0)</f>
        <v>0</v>
      </c>
      <c r="U102" s="1251"/>
      <c r="V102" s="1261">
        <f>IF(U102&lt;&gt;"", M102, 0)</f>
        <v>0</v>
      </c>
    </row>
    <row r="103" spans="1:22">
      <c r="A103" s="1187"/>
      <c r="B103" s="1187"/>
      <c r="C103" s="1187"/>
      <c r="D103" s="1193" t="s">
        <v>1945</v>
      </c>
      <c r="E103" s="1191" t="s">
        <v>2089</v>
      </c>
      <c r="F103" s="1187"/>
      <c r="G103" s="1187"/>
      <c r="H103" s="1187"/>
      <c r="I103" s="1187"/>
      <c r="J103" s="1187"/>
      <c r="K103" s="1174"/>
      <c r="L103" s="1179">
        <f>IF(K103&lt;&gt;"", M103, 0)</f>
        <v>0</v>
      </c>
      <c r="M103" s="1180">
        <v>3</v>
      </c>
      <c r="N103" s="1180"/>
      <c r="O103" s="1295"/>
      <c r="P103" s="1296">
        <f>IF(O103&lt;&gt;"", M103, 0)</f>
        <v>0</v>
      </c>
      <c r="Q103" s="1273"/>
      <c r="R103" s="1280">
        <f>IF(Q103&lt;&gt;"",M103, 0)</f>
        <v>0</v>
      </c>
      <c r="S103" s="1246"/>
      <c r="T103" s="1191">
        <f>IF(S103&lt;&gt;"",M103,0)</f>
        <v>0</v>
      </c>
      <c r="U103" s="1251"/>
      <c r="V103" s="1261">
        <f>IF(U103&lt;&gt;"", M103, 0)</f>
        <v>0</v>
      </c>
    </row>
    <row r="104" spans="1:22">
      <c r="A104" s="1187"/>
      <c r="B104" s="1187"/>
      <c r="C104" s="1187"/>
      <c r="D104" s="1193"/>
      <c r="E104" s="1191"/>
      <c r="F104" s="1187"/>
      <c r="G104" s="1187"/>
      <c r="H104" s="1187"/>
      <c r="I104" s="1187"/>
      <c r="J104" s="1187"/>
      <c r="K104" s="1188"/>
      <c r="L104" s="1179"/>
      <c r="M104" s="1180"/>
      <c r="N104" s="1180"/>
      <c r="O104" s="1298"/>
      <c r="P104" s="1296"/>
      <c r="Q104" s="1282"/>
      <c r="R104" s="1280"/>
      <c r="S104" s="1270"/>
      <c r="T104" s="1191"/>
      <c r="U104" s="1253"/>
      <c r="V104" s="1261"/>
    </row>
    <row r="105" spans="1:22">
      <c r="A105" s="1187"/>
      <c r="B105" s="1187" t="s">
        <v>304</v>
      </c>
      <c r="C105" s="1187" t="s">
        <v>2126</v>
      </c>
      <c r="D105" s="1193"/>
      <c r="E105" s="1191"/>
      <c r="F105" s="1187"/>
      <c r="G105" s="1187"/>
      <c r="H105" s="1187"/>
      <c r="I105" s="1187"/>
      <c r="J105" s="1187"/>
      <c r="K105" s="1174"/>
      <c r="L105" s="1179">
        <f>IF(K105&lt;&gt;"", M105, 0)</f>
        <v>0</v>
      </c>
      <c r="M105" s="1180">
        <v>7</v>
      </c>
      <c r="N105" s="1180"/>
      <c r="O105" s="1295"/>
      <c r="P105" s="1296">
        <f>IF(O105&lt;&gt;"", M105, 0)</f>
        <v>0</v>
      </c>
      <c r="Q105" s="1273"/>
      <c r="R105" s="1280">
        <f>IF(Q105&lt;&gt;"",M105, 0)</f>
        <v>0</v>
      </c>
      <c r="S105" s="1246"/>
      <c r="T105" s="1191">
        <f>IF(S105&lt;&gt;"",M105,0)</f>
        <v>0</v>
      </c>
      <c r="U105" s="1251"/>
      <c r="V105" s="1261">
        <f>IF(U105&lt;&gt;"", M105, 0)</f>
        <v>0</v>
      </c>
    </row>
    <row r="106" spans="1:22" ht="7.5" customHeight="1">
      <c r="A106" s="1187"/>
      <c r="B106" s="1187"/>
      <c r="C106" s="1187"/>
      <c r="D106" s="1193"/>
      <c r="E106" s="1191"/>
      <c r="F106" s="1187"/>
      <c r="G106" s="1187"/>
      <c r="H106" s="1187"/>
      <c r="I106" s="1187"/>
      <c r="J106" s="1187"/>
      <c r="K106" s="1179"/>
      <c r="L106" s="1179"/>
      <c r="M106" s="1180"/>
      <c r="N106" s="1180"/>
      <c r="O106" s="1298"/>
      <c r="P106" s="1296"/>
      <c r="Q106" s="1282"/>
      <c r="R106" s="1280"/>
      <c r="S106" s="1270"/>
      <c r="T106" s="1191"/>
      <c r="U106" s="1253"/>
      <c r="V106" s="1261"/>
    </row>
    <row r="107" spans="1:22">
      <c r="A107" s="1187"/>
      <c r="B107" s="1187"/>
      <c r="C107" s="1187" t="s">
        <v>2123</v>
      </c>
      <c r="D107" s="1193"/>
      <c r="E107" s="1191"/>
      <c r="F107" s="1187"/>
      <c r="G107" s="1187"/>
      <c r="H107" s="1187"/>
      <c r="I107" s="1187"/>
      <c r="J107" s="1187"/>
      <c r="K107" s="1188"/>
      <c r="L107" s="1179"/>
      <c r="M107" s="1180"/>
      <c r="N107" s="1180"/>
      <c r="O107" s="1298"/>
      <c r="P107" s="1296"/>
      <c r="Q107" s="1282"/>
      <c r="R107" s="1280"/>
      <c r="S107" s="1270"/>
      <c r="T107" s="1191"/>
      <c r="U107" s="1253"/>
      <c r="V107" s="1261"/>
    </row>
    <row r="108" spans="1:22">
      <c r="A108" s="1187"/>
      <c r="B108" s="1187"/>
      <c r="C108" s="1187" t="s">
        <v>2124</v>
      </c>
      <c r="D108" s="1193"/>
      <c r="E108" s="1191"/>
      <c r="F108" s="1187"/>
      <c r="G108" s="1187"/>
      <c r="H108" s="1187"/>
      <c r="I108" s="1187"/>
      <c r="J108" s="1187"/>
      <c r="K108" s="1188"/>
      <c r="L108" s="1179"/>
      <c r="M108" s="1180"/>
      <c r="N108" s="1180"/>
      <c r="O108" s="1298"/>
      <c r="P108" s="1296"/>
      <c r="Q108" s="1282"/>
      <c r="R108" s="1280"/>
      <c r="S108" s="1270"/>
      <c r="T108" s="1191"/>
      <c r="U108" s="1253"/>
      <c r="V108" s="1261"/>
    </row>
    <row r="109" spans="1:22">
      <c r="A109" s="1187"/>
      <c r="B109" s="1187"/>
      <c r="C109" s="1187" t="s">
        <v>2125</v>
      </c>
      <c r="D109" s="1193"/>
      <c r="E109" s="1191"/>
      <c r="F109" s="1187"/>
      <c r="G109" s="1187"/>
      <c r="H109" s="1187"/>
      <c r="I109" s="1187"/>
      <c r="J109" s="1187"/>
      <c r="K109" s="1188"/>
      <c r="L109" s="1179"/>
      <c r="M109" s="1180"/>
      <c r="N109" s="1180"/>
      <c r="O109" s="1298"/>
      <c r="P109" s="1296"/>
      <c r="Q109" s="1282"/>
      <c r="R109" s="1280"/>
      <c r="S109" s="1270"/>
      <c r="T109" s="1191"/>
      <c r="U109" s="1253"/>
      <c r="V109" s="1261"/>
    </row>
    <row r="110" spans="1:22">
      <c r="A110" s="1187"/>
      <c r="B110" s="1187"/>
      <c r="C110" s="1187"/>
      <c r="D110" s="1193"/>
      <c r="E110" s="1191"/>
      <c r="F110" s="1187"/>
      <c r="G110" s="1187"/>
      <c r="H110" s="1187"/>
      <c r="I110" s="1187"/>
      <c r="J110" s="1187"/>
      <c r="K110" s="1188"/>
      <c r="L110" s="1179"/>
      <c r="M110" s="1180"/>
      <c r="N110" s="1180"/>
      <c r="O110" s="1298"/>
      <c r="P110" s="1296"/>
      <c r="Q110" s="1282"/>
      <c r="R110" s="1280"/>
      <c r="S110" s="1270"/>
      <c r="T110" s="1191"/>
      <c r="U110" s="1253"/>
      <c r="V110" s="1261"/>
    </row>
    <row r="111" spans="1:22">
      <c r="A111" s="1187"/>
      <c r="B111" s="1187" t="s">
        <v>229</v>
      </c>
      <c r="C111" s="1187" t="s">
        <v>2146</v>
      </c>
      <c r="D111" s="1193"/>
      <c r="E111" s="1191"/>
      <c r="F111" s="1187"/>
      <c r="G111" s="1187"/>
      <c r="H111" s="1187"/>
      <c r="I111" s="1187"/>
      <c r="J111" s="1187"/>
      <c r="K111" s="1174"/>
      <c r="L111" s="1179">
        <f>IF(K111&lt;&gt;"", M111, 0)</f>
        <v>0</v>
      </c>
      <c r="M111" s="1180">
        <v>6</v>
      </c>
      <c r="N111" s="1180"/>
      <c r="O111" s="1295"/>
      <c r="P111" s="1296">
        <f>IF(O111&lt;&gt;"", M111, 0)</f>
        <v>0</v>
      </c>
      <c r="Q111" s="1273"/>
      <c r="R111" s="1280">
        <f>IF(Q111&lt;&gt;"",M111, 0)</f>
        <v>0</v>
      </c>
      <c r="S111" s="1246"/>
      <c r="T111" s="1191">
        <f>IF(S111&lt;&gt;"",M111,0)</f>
        <v>0</v>
      </c>
      <c r="U111" s="1251"/>
      <c r="V111" s="1261">
        <f>IF(U111&lt;&gt;"", M111, 0)</f>
        <v>0</v>
      </c>
    </row>
    <row r="112" spans="1:22" ht="7.5" customHeight="1">
      <c r="A112" s="1187"/>
      <c r="B112" s="1187"/>
      <c r="C112" s="1187"/>
      <c r="D112" s="1193"/>
      <c r="E112" s="1191"/>
      <c r="F112" s="1187"/>
      <c r="G112" s="1187"/>
      <c r="H112" s="1187"/>
      <c r="I112" s="1187"/>
      <c r="J112" s="1187"/>
      <c r="K112" s="1187"/>
      <c r="L112" s="1179"/>
      <c r="M112" s="1180"/>
      <c r="N112" s="1180"/>
      <c r="O112" s="1298"/>
      <c r="P112" s="1296"/>
      <c r="Q112" s="1282"/>
      <c r="R112" s="1280"/>
      <c r="S112" s="1270"/>
      <c r="T112" s="1191"/>
      <c r="U112" s="1253"/>
      <c r="V112" s="1261"/>
    </row>
    <row r="113" spans="1:24">
      <c r="A113" s="1187"/>
      <c r="B113" s="1187"/>
      <c r="C113" s="1187" t="s">
        <v>2127</v>
      </c>
      <c r="D113" s="1193"/>
      <c r="E113" s="1191"/>
      <c r="F113" s="1187"/>
      <c r="G113" s="1187"/>
      <c r="H113" s="1187"/>
      <c r="I113" s="1187"/>
      <c r="J113" s="1187"/>
      <c r="K113" s="1188"/>
      <c r="L113" s="1179"/>
      <c r="M113" s="1180"/>
      <c r="N113" s="1180"/>
      <c r="O113" s="1298"/>
      <c r="P113" s="1296"/>
      <c r="Q113" s="1282"/>
      <c r="R113" s="1280"/>
      <c r="S113" s="1270"/>
      <c r="T113" s="1191"/>
      <c r="U113" s="1253"/>
      <c r="V113" s="1261"/>
    </row>
    <row r="114" spans="1:24" ht="21" customHeight="1">
      <c r="A114" s="1187"/>
      <c r="B114" s="1187"/>
      <c r="C114" s="1551" t="s">
        <v>2090</v>
      </c>
      <c r="D114" s="1551"/>
      <c r="E114" s="1551"/>
      <c r="F114" s="1551"/>
      <c r="G114" s="1551"/>
      <c r="H114" s="1551"/>
      <c r="I114" s="1551"/>
      <c r="J114" s="1551"/>
      <c r="K114" s="1188"/>
      <c r="L114" s="1189"/>
      <c r="M114" s="1190"/>
      <c r="N114" s="1190"/>
      <c r="O114" s="1293"/>
      <c r="P114" s="1296"/>
      <c r="Q114" s="1278"/>
      <c r="R114" s="1280"/>
      <c r="S114" s="1268"/>
      <c r="T114" s="1191"/>
      <c r="U114" s="1250"/>
      <c r="V114" s="1261"/>
    </row>
    <row r="115" spans="1:24" ht="23.25" customHeight="1">
      <c r="A115" s="1187"/>
      <c r="B115" s="1187"/>
      <c r="C115" s="1553" t="s">
        <v>2091</v>
      </c>
      <c r="D115" s="1553"/>
      <c r="E115" s="1553"/>
      <c r="F115" s="1553"/>
      <c r="G115" s="1553"/>
      <c r="H115" s="1553"/>
      <c r="I115" s="1553"/>
      <c r="J115" s="1553"/>
      <c r="K115" s="1553"/>
      <c r="L115" s="1189"/>
      <c r="M115" s="1190"/>
      <c r="N115" s="1190"/>
      <c r="O115" s="1293"/>
      <c r="P115" s="1296"/>
      <c r="Q115" s="1278"/>
      <c r="R115" s="1280"/>
      <c r="S115" s="1268"/>
      <c r="T115" s="1191"/>
      <c r="U115" s="1250"/>
      <c r="V115" s="1261"/>
    </row>
    <row r="116" spans="1:24" ht="12.75" customHeight="1">
      <c r="A116" s="1187"/>
      <c r="B116" s="1187"/>
      <c r="C116" s="1551" t="s">
        <v>2092</v>
      </c>
      <c r="D116" s="1551"/>
      <c r="E116" s="1551"/>
      <c r="F116" s="1551"/>
      <c r="G116" s="1551"/>
      <c r="H116" s="1551"/>
      <c r="I116" s="1551"/>
      <c r="J116" s="1551"/>
      <c r="K116" s="1188"/>
      <c r="L116" s="1189"/>
      <c r="M116" s="1190"/>
      <c r="N116" s="1190"/>
      <c r="O116" s="1293"/>
      <c r="P116" s="1296"/>
      <c r="Q116" s="1278"/>
      <c r="R116" s="1280"/>
      <c r="S116" s="1268"/>
      <c r="T116" s="1191"/>
      <c r="U116" s="1250"/>
      <c r="V116" s="1261"/>
    </row>
    <row r="117" spans="1:24">
      <c r="A117" s="1181"/>
      <c r="B117" s="1181"/>
      <c r="C117" s="1181"/>
      <c r="D117" s="1181"/>
      <c r="E117" s="1181"/>
      <c r="F117" s="1181"/>
      <c r="G117" s="1181"/>
      <c r="H117" s="1181"/>
      <c r="I117" s="1181"/>
      <c r="J117" s="1181"/>
      <c r="K117" s="1181"/>
      <c r="L117" s="1182"/>
      <c r="M117" s="1182"/>
      <c r="N117" s="1183"/>
      <c r="O117" s="1298"/>
      <c r="P117" s="1296"/>
      <c r="Q117" s="1282"/>
      <c r="R117" s="1280"/>
      <c r="S117" s="1270"/>
      <c r="T117" s="1191"/>
      <c r="U117" s="1253"/>
      <c r="V117" s="1261"/>
    </row>
    <row r="118" spans="1:24">
      <c r="A118" s="1186"/>
      <c r="B118" s="1186"/>
      <c r="C118" s="1186"/>
      <c r="D118" s="1186"/>
      <c r="E118" s="1186"/>
      <c r="F118" s="1186"/>
      <c r="G118" s="1186"/>
      <c r="H118" s="1186"/>
      <c r="I118" s="1186"/>
      <c r="J118" s="1186"/>
      <c r="K118" s="1186"/>
      <c r="L118" s="1183"/>
      <c r="M118" s="1183"/>
      <c r="N118" s="1183"/>
      <c r="O118" s="1298"/>
      <c r="P118" s="1296"/>
      <c r="Q118" s="1282"/>
      <c r="R118" s="1280"/>
      <c r="S118" s="1268"/>
      <c r="T118" s="1191"/>
      <c r="U118" s="1253"/>
      <c r="V118" s="1261"/>
    </row>
    <row r="119" spans="1:24">
      <c r="A119" s="1177" t="s">
        <v>1281</v>
      </c>
      <c r="B119" s="1178" t="s">
        <v>708</v>
      </c>
      <c r="C119" s="1186"/>
      <c r="D119" s="1186"/>
      <c r="E119" s="1186"/>
      <c r="F119" s="1186"/>
      <c r="G119" s="1186"/>
      <c r="H119" s="1186"/>
      <c r="I119" s="1186"/>
      <c r="J119" s="1186"/>
      <c r="K119" s="1186"/>
      <c r="L119" s="1183"/>
      <c r="M119" s="1183"/>
      <c r="N119" s="1183"/>
      <c r="O119" s="1298"/>
      <c r="P119" s="1296"/>
      <c r="Q119" s="1282"/>
      <c r="R119" s="1280"/>
      <c r="S119" s="1270"/>
      <c r="T119" s="1191"/>
      <c r="U119" s="1253"/>
      <c r="V119" s="1261"/>
    </row>
    <row r="120" spans="1:24">
      <c r="A120" s="1181"/>
      <c r="B120" s="1181"/>
      <c r="C120" s="1181"/>
      <c r="D120" s="1181"/>
      <c r="E120" s="1181"/>
      <c r="F120" s="1181"/>
      <c r="G120" s="1181"/>
      <c r="H120" s="1181"/>
      <c r="I120" s="1181"/>
      <c r="J120" s="1181"/>
      <c r="K120" s="1181"/>
      <c r="L120" s="1182"/>
      <c r="M120" s="1182"/>
      <c r="N120" s="1183"/>
      <c r="O120" s="1298"/>
      <c r="P120" s="1296"/>
      <c r="Q120" s="1282"/>
      <c r="R120" s="1280"/>
      <c r="S120" s="1268"/>
      <c r="T120" s="1191"/>
      <c r="U120" s="1253"/>
      <c r="V120" s="1261"/>
    </row>
    <row r="121" spans="1:24">
      <c r="A121" s="1187"/>
      <c r="B121" s="1186" t="s">
        <v>303</v>
      </c>
      <c r="C121" s="1186" t="s">
        <v>2147</v>
      </c>
      <c r="D121" s="1187"/>
      <c r="E121" s="1191"/>
      <c r="F121" s="1187"/>
      <c r="G121" s="1187"/>
      <c r="H121" s="1187"/>
      <c r="I121" s="1187"/>
      <c r="J121" s="1187"/>
      <c r="K121" s="1188"/>
      <c r="L121" s="1189"/>
      <c r="M121" s="1190"/>
      <c r="N121" s="1190"/>
      <c r="O121" s="1298"/>
      <c r="P121" s="1296"/>
      <c r="Q121" s="1282"/>
      <c r="R121" s="1280"/>
      <c r="S121" s="1270"/>
      <c r="T121" s="1191"/>
      <c r="U121" s="1253"/>
      <c r="V121" s="1261"/>
    </row>
    <row r="122" spans="1:24">
      <c r="A122" s="1187"/>
      <c r="B122" s="1187"/>
      <c r="C122" s="1187"/>
      <c r="D122" s="1187"/>
      <c r="E122" s="1191"/>
      <c r="F122" s="1187"/>
      <c r="G122" s="1187"/>
      <c r="H122" s="1187"/>
      <c r="I122" s="1187"/>
      <c r="J122" s="1187"/>
      <c r="K122" s="1188"/>
      <c r="L122" s="1189"/>
      <c r="M122" s="1190"/>
      <c r="N122" s="1190"/>
      <c r="O122" s="1298"/>
      <c r="P122" s="1296"/>
      <c r="Q122" s="1282"/>
      <c r="R122" s="1280"/>
      <c r="S122" s="1268"/>
      <c r="T122" s="1191"/>
      <c r="U122" s="1253"/>
      <c r="V122" s="1261"/>
    </row>
    <row r="123" spans="1:24" ht="22.5" customHeight="1">
      <c r="A123" s="1187"/>
      <c r="B123" s="1187"/>
      <c r="C123" s="1551" t="s">
        <v>2128</v>
      </c>
      <c r="D123" s="1551"/>
      <c r="E123" s="1551"/>
      <c r="F123" s="1551"/>
      <c r="G123" s="1551"/>
      <c r="H123" s="1551"/>
      <c r="I123" s="1551"/>
      <c r="J123" s="1551"/>
      <c r="K123" s="1188"/>
      <c r="L123" s="1189"/>
      <c r="M123" s="1190"/>
      <c r="N123" s="1190"/>
      <c r="O123" s="1293"/>
      <c r="P123" s="1296"/>
      <c r="Q123" s="1278"/>
      <c r="R123" s="1280"/>
      <c r="S123" s="1268"/>
      <c r="T123" s="1191"/>
      <c r="U123" s="1250"/>
      <c r="V123" s="1261"/>
    </row>
    <row r="124" spans="1:24" ht="8.25" customHeight="1">
      <c r="A124" s="1187"/>
      <c r="B124" s="1187"/>
      <c r="C124" s="1187"/>
      <c r="D124" s="1187"/>
      <c r="E124" s="1191"/>
      <c r="F124" s="1187"/>
      <c r="G124" s="1187"/>
      <c r="H124" s="1187"/>
      <c r="I124" s="1187"/>
      <c r="J124" s="1187"/>
      <c r="K124" s="1188"/>
      <c r="L124" s="1189"/>
      <c r="M124" s="1190"/>
      <c r="N124" s="1190"/>
      <c r="O124" s="1293"/>
      <c r="P124" s="1296"/>
      <c r="Q124" s="1278"/>
      <c r="R124" s="1280"/>
      <c r="S124" s="1268"/>
      <c r="T124" s="1191"/>
      <c r="U124" s="1250"/>
      <c r="V124" s="1261"/>
    </row>
    <row r="125" spans="1:24">
      <c r="A125" s="1187"/>
      <c r="B125" s="1187"/>
      <c r="C125" s="1187"/>
      <c r="D125" s="1179" t="s">
        <v>1890</v>
      </c>
      <c r="E125" s="1179" t="s">
        <v>312</v>
      </c>
      <c r="F125" s="1179"/>
      <c r="G125" s="1186"/>
      <c r="H125" s="1186"/>
      <c r="I125" s="1186"/>
      <c r="J125" s="1186"/>
      <c r="K125" s="1174"/>
      <c r="L125" s="1179">
        <f>IF(K125&lt;&gt;"", M125, 0)</f>
        <v>0</v>
      </c>
      <c r="M125" s="1180">
        <v>2</v>
      </c>
      <c r="N125" s="1180"/>
      <c r="O125" s="1295"/>
      <c r="P125" s="1296">
        <f>IF(O125&lt;&gt;"", M125, 0)</f>
        <v>0</v>
      </c>
      <c r="Q125" s="1273"/>
      <c r="R125" s="1280">
        <f>IF(Q125&lt;&gt;"",M125, 0)</f>
        <v>0</v>
      </c>
      <c r="S125" s="1246"/>
      <c r="T125" s="1191">
        <f>IF(S125&lt;&gt;"",M125,0)</f>
        <v>0</v>
      </c>
      <c r="U125" s="1256"/>
      <c r="V125" s="1261">
        <f>IF(U125&lt;&gt;"", M125, 0)</f>
        <v>0</v>
      </c>
    </row>
    <row r="126" spans="1:24">
      <c r="A126" s="1187"/>
      <c r="B126" s="1187"/>
      <c r="C126" s="1187"/>
      <c r="D126" s="1179" t="s">
        <v>1892</v>
      </c>
      <c r="E126" s="1179" t="s">
        <v>313</v>
      </c>
      <c r="F126" s="1179"/>
      <c r="G126" s="1186"/>
      <c r="H126" s="1186"/>
      <c r="I126" s="1186"/>
      <c r="J126" s="1186"/>
      <c r="K126" s="1174"/>
      <c r="L126" s="1179">
        <f>IF(K126&lt;&gt;"", M126, 0)</f>
        <v>0</v>
      </c>
      <c r="M126" s="1180">
        <v>3</v>
      </c>
      <c r="N126" s="1180"/>
      <c r="O126" s="1295"/>
      <c r="P126" s="1296">
        <f>IF(O126&lt;&gt;"", M126, 0)</f>
        <v>0</v>
      </c>
      <c r="Q126" s="1273"/>
      <c r="R126" s="1280">
        <f>IF(Q126&lt;&gt;"",M126, 0)</f>
        <v>0</v>
      </c>
      <c r="S126" s="1246"/>
      <c r="T126" s="1191">
        <f>IF(S126&lt;&gt;"",M126,0)</f>
        <v>0</v>
      </c>
      <c r="U126" s="1256"/>
      <c r="V126" s="1261">
        <f>IF(U126&lt;&gt;"", M126, 0)</f>
        <v>0</v>
      </c>
    </row>
    <row r="127" spans="1:24">
      <c r="A127" s="1187"/>
      <c r="B127" s="1187"/>
      <c r="C127" s="1187"/>
      <c r="D127" s="1179" t="s">
        <v>1894</v>
      </c>
      <c r="E127" s="1179" t="s">
        <v>314</v>
      </c>
      <c r="F127" s="1179"/>
      <c r="G127" s="1187"/>
      <c r="H127" s="1187"/>
      <c r="I127" s="1187"/>
      <c r="J127" s="1187"/>
      <c r="K127" s="1174"/>
      <c r="L127" s="1179">
        <f>IF(K127&lt;&gt;"", M127, 0)</f>
        <v>0</v>
      </c>
      <c r="M127" s="1180">
        <v>4</v>
      </c>
      <c r="N127" s="1180"/>
      <c r="O127" s="1295"/>
      <c r="P127" s="1296">
        <f>IF(O127&lt;&gt;"", M127, 0)</f>
        <v>0</v>
      </c>
      <c r="Q127" s="1273"/>
      <c r="R127" s="1280">
        <f>IF(Q127&lt;&gt;"",M127, 0)</f>
        <v>0</v>
      </c>
      <c r="S127" s="1246"/>
      <c r="T127" s="1191">
        <f>IF(S127&lt;&gt;"",M127,0)</f>
        <v>0</v>
      </c>
      <c r="U127" s="1256"/>
      <c r="V127" s="1261">
        <f>IF(U127&lt;&gt;"", M127, 0)</f>
        <v>0</v>
      </c>
    </row>
    <row r="128" spans="1:24" ht="8.25" customHeight="1">
      <c r="A128" s="1187"/>
      <c r="B128" s="1187"/>
      <c r="C128" s="1187"/>
      <c r="D128" s="1179"/>
      <c r="E128" s="1179"/>
      <c r="F128" s="1179"/>
      <c r="G128" s="1187"/>
      <c r="H128" s="1187"/>
      <c r="I128" s="1187"/>
      <c r="J128" s="1187"/>
      <c r="K128" s="1187"/>
      <c r="L128" s="1179"/>
      <c r="M128" s="1180"/>
      <c r="N128" s="1180"/>
      <c r="O128" s="1298"/>
      <c r="P128" s="1296"/>
      <c r="Q128" s="1282"/>
      <c r="R128" s="1280"/>
      <c r="S128" s="1270"/>
      <c r="T128" s="1191"/>
      <c r="U128" s="1257"/>
      <c r="V128" s="1261"/>
      <c r="W128" s="1157"/>
      <c r="X128" s="1157"/>
    </row>
    <row r="129" spans="1:22">
      <c r="A129" s="1187"/>
      <c r="B129" s="1187"/>
      <c r="C129" s="1186" t="s">
        <v>2129</v>
      </c>
      <c r="D129" s="1187"/>
      <c r="E129" s="1191"/>
      <c r="F129" s="1187"/>
      <c r="G129" s="1187"/>
      <c r="H129" s="1187"/>
      <c r="I129" s="1187"/>
      <c r="J129" s="1187"/>
      <c r="K129" s="1188"/>
      <c r="L129" s="1189"/>
      <c r="M129" s="1190"/>
      <c r="N129" s="1190"/>
      <c r="O129" s="1293"/>
      <c r="P129" s="1296"/>
      <c r="Q129" s="1278"/>
      <c r="R129" s="1280"/>
      <c r="S129" s="1268"/>
      <c r="T129" s="1191"/>
      <c r="U129" s="1253"/>
      <c r="V129" s="1261"/>
    </row>
    <row r="130" spans="1:22">
      <c r="A130" s="1181"/>
      <c r="B130" s="1181"/>
      <c r="C130" s="1181"/>
      <c r="D130" s="1181"/>
      <c r="E130" s="1181"/>
      <c r="F130" s="1181"/>
      <c r="G130" s="1181"/>
      <c r="H130" s="1181"/>
      <c r="I130" s="1181"/>
      <c r="J130" s="1181"/>
      <c r="K130" s="1181"/>
      <c r="L130" s="1182"/>
      <c r="M130" s="1182"/>
      <c r="N130" s="1183"/>
      <c r="O130" s="1293"/>
      <c r="P130" s="1296"/>
      <c r="Q130" s="1278"/>
      <c r="R130" s="1280"/>
      <c r="S130" s="1268"/>
      <c r="T130" s="1191"/>
      <c r="U130" s="1250"/>
      <c r="V130" s="1261"/>
    </row>
    <row r="131" spans="1:22">
      <c r="A131" s="1228"/>
      <c r="B131" s="1186" t="s">
        <v>304</v>
      </c>
      <c r="C131" s="1186" t="s">
        <v>2148</v>
      </c>
      <c r="D131" s="1187"/>
      <c r="E131" s="1191"/>
      <c r="F131" s="1187"/>
      <c r="G131" s="1187"/>
      <c r="H131" s="1187"/>
      <c r="I131" s="1187"/>
      <c r="J131" s="1187"/>
      <c r="K131" s="1188"/>
      <c r="L131" s="1189"/>
      <c r="M131" s="1190"/>
      <c r="N131" s="1190"/>
      <c r="O131" s="1293"/>
      <c r="P131" s="1296"/>
      <c r="Q131" s="1278"/>
      <c r="R131" s="1280"/>
      <c r="S131" s="1268"/>
      <c r="T131" s="1191"/>
      <c r="U131" s="1250"/>
      <c r="V131" s="1261"/>
    </row>
    <row r="132" spans="1:22">
      <c r="A132" s="1228"/>
      <c r="B132" s="1186"/>
      <c r="C132" s="1186"/>
      <c r="D132" s="1187"/>
      <c r="E132" s="1191"/>
      <c r="F132" s="1187"/>
      <c r="G132" s="1187"/>
      <c r="H132" s="1187"/>
      <c r="I132" s="1187"/>
      <c r="J132" s="1187"/>
      <c r="K132" s="1188"/>
      <c r="L132" s="1189"/>
      <c r="M132" s="1190"/>
      <c r="N132" s="1190"/>
      <c r="O132" s="1298"/>
      <c r="P132" s="1296"/>
      <c r="Q132" s="1282"/>
      <c r="R132" s="1280"/>
      <c r="S132" s="1270"/>
      <c r="T132" s="1191"/>
      <c r="U132" s="1253"/>
      <c r="V132" s="1261"/>
    </row>
    <row r="133" spans="1:22">
      <c r="A133" s="1228"/>
      <c r="B133" s="1187"/>
      <c r="C133" s="1186" t="s">
        <v>1367</v>
      </c>
      <c r="D133" s="1187"/>
      <c r="E133" s="1191"/>
      <c r="F133" s="1187"/>
      <c r="G133" s="1187"/>
      <c r="H133" s="1187"/>
      <c r="I133" s="1187"/>
      <c r="J133" s="1187"/>
      <c r="K133" s="1188"/>
      <c r="L133" s="1189"/>
      <c r="M133" s="1190"/>
      <c r="N133" s="1190"/>
      <c r="O133" s="1293"/>
      <c r="P133" s="1296"/>
      <c r="Q133" s="1278"/>
      <c r="R133" s="1280"/>
      <c r="S133" s="1268"/>
      <c r="T133" s="1191"/>
      <c r="U133" s="1250"/>
      <c r="V133" s="1261"/>
    </row>
    <row r="134" spans="1:22" ht="12.75" customHeight="1">
      <c r="A134" s="1228"/>
      <c r="B134" s="1187"/>
      <c r="C134" s="1551"/>
      <c r="D134" s="1551"/>
      <c r="E134" s="1551"/>
      <c r="F134" s="1551"/>
      <c r="G134" s="1551"/>
      <c r="H134" s="1551"/>
      <c r="I134" s="1551"/>
      <c r="J134" s="1551"/>
      <c r="K134" s="1188"/>
      <c r="L134" s="1189"/>
      <c r="M134" s="1190"/>
      <c r="N134" s="1190"/>
      <c r="O134" s="1298"/>
      <c r="P134" s="1296"/>
      <c r="Q134" s="1282"/>
      <c r="R134" s="1280"/>
      <c r="S134" s="1270"/>
      <c r="T134" s="1191"/>
      <c r="U134" s="1253"/>
      <c r="V134" s="1261"/>
    </row>
    <row r="135" spans="1:22">
      <c r="A135" s="1228"/>
      <c r="B135" s="1187"/>
      <c r="C135" s="1187"/>
      <c r="D135" s="1230" t="s">
        <v>1890</v>
      </c>
      <c r="E135" s="1179" t="s">
        <v>1369</v>
      </c>
      <c r="F135" s="1179"/>
      <c r="G135" s="1186"/>
      <c r="H135" s="1186"/>
      <c r="I135" s="1186"/>
      <c r="J135" s="1186"/>
      <c r="K135" s="1174"/>
      <c r="L135" s="1179">
        <f>IF(K135&lt;&gt;"", M135, 0)</f>
        <v>0</v>
      </c>
      <c r="M135" s="1180">
        <v>4</v>
      </c>
      <c r="N135" s="1180"/>
      <c r="O135" s="1295"/>
      <c r="P135" s="1296">
        <f>IF(O135&lt;&gt;"", M135, 0)</f>
        <v>0</v>
      </c>
      <c r="Q135" s="1273"/>
      <c r="R135" s="1280">
        <f>IF(Q135&lt;&gt;"",M135, 0)</f>
        <v>0</v>
      </c>
      <c r="S135" s="1246"/>
      <c r="T135" s="1191">
        <f>IF(S135&lt;&gt;"",M135,0)</f>
        <v>0</v>
      </c>
      <c r="U135" s="1251"/>
      <c r="V135" s="1261">
        <f>IF(U135&lt;&gt;"", M135, 0)</f>
        <v>0</v>
      </c>
    </row>
    <row r="136" spans="1:22">
      <c r="A136" s="1228"/>
      <c r="B136" s="1187"/>
      <c r="C136" s="1187"/>
      <c r="D136" s="1230"/>
      <c r="E136" s="1179" t="s">
        <v>1368</v>
      </c>
      <c r="F136" s="1179"/>
      <c r="G136" s="1186"/>
      <c r="H136" s="1186"/>
      <c r="I136" s="1186"/>
      <c r="J136" s="1186"/>
      <c r="K136" s="1186"/>
      <c r="L136" s="1179"/>
      <c r="M136" s="1180"/>
      <c r="N136" s="1180"/>
      <c r="O136" s="1293"/>
      <c r="P136" s="1296"/>
      <c r="Q136" s="1278"/>
      <c r="R136" s="1280"/>
      <c r="S136" s="1268"/>
      <c r="T136" s="1191"/>
      <c r="U136" s="1312"/>
      <c r="V136" s="1261"/>
    </row>
    <row r="137" spans="1:22">
      <c r="A137" s="1228"/>
      <c r="B137" s="1187"/>
      <c r="C137" s="1187"/>
      <c r="D137" s="1230" t="s">
        <v>1892</v>
      </c>
      <c r="E137" s="1179" t="s">
        <v>1370</v>
      </c>
      <c r="F137" s="1179"/>
      <c r="G137" s="1186"/>
      <c r="H137" s="1186"/>
      <c r="I137" s="1186"/>
      <c r="J137" s="1186"/>
      <c r="K137" s="1174"/>
      <c r="L137" s="1179">
        <f>IF(K137&lt;&gt;"", M137, 0)</f>
        <v>0</v>
      </c>
      <c r="M137" s="1180">
        <v>5</v>
      </c>
      <c r="N137" s="1180"/>
      <c r="O137" s="1295"/>
      <c r="P137" s="1296">
        <f>IF(O137&lt;&gt;"", M137, 0)</f>
        <v>0</v>
      </c>
      <c r="Q137" s="1273"/>
      <c r="R137" s="1280">
        <f>IF(Q137&lt;&gt;"",M137, 0)</f>
        <v>0</v>
      </c>
      <c r="S137" s="1246"/>
      <c r="T137" s="1191">
        <f>IF(S137&lt;&gt;"",M137,0)</f>
        <v>0</v>
      </c>
      <c r="U137" s="1251"/>
      <c r="V137" s="1261">
        <f>IF(U137&lt;&gt;"", M137, 0)</f>
        <v>0</v>
      </c>
    </row>
    <row r="138" spans="1:22">
      <c r="A138" s="1228"/>
      <c r="B138" s="1187"/>
      <c r="C138" s="1187"/>
      <c r="D138" s="1230"/>
      <c r="E138" s="1179" t="s">
        <v>1371</v>
      </c>
      <c r="F138" s="1179"/>
      <c r="G138" s="1186"/>
      <c r="H138" s="1186"/>
      <c r="I138" s="1186"/>
      <c r="J138" s="1186"/>
      <c r="K138" s="1186"/>
      <c r="L138" s="1179"/>
      <c r="M138" s="1180"/>
      <c r="N138" s="1180"/>
      <c r="O138" s="1293"/>
      <c r="P138" s="1296"/>
      <c r="Q138" s="1278"/>
      <c r="R138" s="1280"/>
      <c r="S138" s="1268"/>
      <c r="T138" s="1191"/>
      <c r="U138" s="1250"/>
      <c r="V138" s="1261"/>
    </row>
    <row r="139" spans="1:22">
      <c r="A139" s="1228"/>
      <c r="B139" s="1187"/>
      <c r="C139" s="1187"/>
      <c r="D139" s="1230" t="s">
        <v>1894</v>
      </c>
      <c r="E139" s="1179" t="s">
        <v>1372</v>
      </c>
      <c r="F139" s="1179"/>
      <c r="G139" s="1186"/>
      <c r="H139" s="1186"/>
      <c r="I139" s="1186"/>
      <c r="J139" s="1186"/>
      <c r="K139" s="1174"/>
      <c r="L139" s="1179">
        <f>IF(K139&lt;&gt;"", M139, 0)</f>
        <v>0</v>
      </c>
      <c r="M139" s="1180">
        <v>6</v>
      </c>
      <c r="N139" s="1180"/>
      <c r="O139" s="1295"/>
      <c r="P139" s="1296">
        <f>IF(O139&lt;&gt;"", M139, 0)</f>
        <v>0</v>
      </c>
      <c r="Q139" s="1273"/>
      <c r="R139" s="1280">
        <f>IF(Q139&lt;&gt;"",M139, 0)</f>
        <v>0</v>
      </c>
      <c r="S139" s="1246"/>
      <c r="T139" s="1191">
        <f>IF(S139&lt;&gt;"",M139,0)</f>
        <v>0</v>
      </c>
      <c r="U139" s="1251"/>
      <c r="V139" s="1261">
        <f>IF(U139&lt;&gt;"", M139, 0)</f>
        <v>0</v>
      </c>
    </row>
    <row r="140" spans="1:22">
      <c r="A140" s="1228"/>
      <c r="B140" s="1187"/>
      <c r="C140" s="1187"/>
      <c r="D140" s="1179"/>
      <c r="E140" s="1179" t="s">
        <v>1373</v>
      </c>
      <c r="F140" s="1179"/>
      <c r="G140" s="1186"/>
      <c r="H140" s="1186"/>
      <c r="I140" s="1186"/>
      <c r="J140" s="1186"/>
      <c r="K140" s="1186"/>
      <c r="L140" s="1179"/>
      <c r="M140" s="1180"/>
      <c r="N140" s="1180"/>
      <c r="O140" s="1293"/>
      <c r="P140" s="1296"/>
      <c r="Q140" s="1278"/>
      <c r="R140" s="1280"/>
      <c r="S140" s="1268"/>
      <c r="T140" s="1191"/>
      <c r="U140" s="1250"/>
      <c r="V140" s="1261"/>
    </row>
    <row r="141" spans="1:22" ht="51" customHeight="1">
      <c r="A141" s="1228"/>
      <c r="B141" s="1571" t="s">
        <v>2149</v>
      </c>
      <c r="C141" s="1571"/>
      <c r="D141" s="1571"/>
      <c r="E141" s="1571"/>
      <c r="F141" s="1571"/>
      <c r="G141" s="1571"/>
      <c r="H141" s="1571"/>
      <c r="I141" s="1571"/>
      <c r="J141" s="1571"/>
      <c r="K141" s="1571"/>
      <c r="L141" s="1571"/>
      <c r="M141" s="1571"/>
      <c r="N141" s="1180"/>
      <c r="O141" s="1293"/>
      <c r="P141" s="1296"/>
      <c r="Q141" s="1278"/>
      <c r="R141" s="1280"/>
      <c r="S141" s="1268"/>
      <c r="T141" s="1191"/>
      <c r="U141" s="1250"/>
      <c r="V141" s="1261"/>
    </row>
    <row r="142" spans="1:22">
      <c r="A142" s="1224"/>
      <c r="B142" s="1224"/>
      <c r="C142" s="1224"/>
      <c r="D142" s="1224"/>
      <c r="E142" s="1224"/>
      <c r="F142" s="1224"/>
      <c r="G142" s="1224"/>
      <c r="H142" s="1224"/>
      <c r="I142" s="1224"/>
      <c r="J142" s="1224"/>
      <c r="K142" s="1224"/>
      <c r="L142" s="1227"/>
      <c r="M142" s="1227"/>
      <c r="N142" s="1226"/>
      <c r="O142" s="1293"/>
      <c r="P142" s="1296"/>
      <c r="Q142" s="1278"/>
      <c r="R142" s="1280"/>
      <c r="S142" s="1268"/>
      <c r="T142" s="1191"/>
      <c r="U142" s="1250"/>
      <c r="V142" s="1261"/>
    </row>
    <row r="143" spans="1:22">
      <c r="A143" s="1223"/>
      <c r="B143" s="1186" t="s">
        <v>229</v>
      </c>
      <c r="C143" s="1186" t="s">
        <v>2150</v>
      </c>
      <c r="D143" s="1186"/>
      <c r="E143" s="1191"/>
      <c r="F143" s="1186"/>
      <c r="G143" s="1186"/>
      <c r="H143" s="1186"/>
      <c r="I143" s="1186"/>
      <c r="J143" s="1186"/>
      <c r="K143" s="1194"/>
      <c r="L143" s="1189"/>
      <c r="M143" s="1190"/>
      <c r="N143" s="1229"/>
      <c r="O143" s="1293"/>
      <c r="P143" s="1296"/>
      <c r="Q143" s="1278"/>
      <c r="R143" s="1280"/>
      <c r="S143" s="1268"/>
      <c r="T143" s="1191"/>
      <c r="U143" s="1250"/>
      <c r="V143" s="1261"/>
    </row>
    <row r="144" spans="1:22">
      <c r="A144" s="1223"/>
      <c r="B144" s="1186"/>
      <c r="C144" s="1186"/>
      <c r="D144" s="1186"/>
      <c r="E144" s="1191"/>
      <c r="F144" s="1186"/>
      <c r="G144" s="1186"/>
      <c r="H144" s="1186"/>
      <c r="I144" s="1186"/>
      <c r="J144" s="1186"/>
      <c r="K144" s="1194"/>
      <c r="L144" s="1189"/>
      <c r="M144" s="1190"/>
      <c r="N144" s="1229"/>
      <c r="O144" s="1293"/>
      <c r="P144" s="1296"/>
      <c r="Q144" s="1278"/>
      <c r="R144" s="1280"/>
      <c r="S144" s="1268"/>
      <c r="T144" s="1191"/>
      <c r="U144" s="1250"/>
      <c r="V144" s="1261"/>
    </row>
    <row r="145" spans="1:24" ht="12.75" customHeight="1">
      <c r="A145" s="1223"/>
      <c r="B145" s="1186"/>
      <c r="C145" s="1222"/>
      <c r="D145" s="1230" t="s">
        <v>1890</v>
      </c>
      <c r="E145" s="1553" t="s">
        <v>2130</v>
      </c>
      <c r="F145" s="1553"/>
      <c r="G145" s="1553"/>
      <c r="H145" s="1553"/>
      <c r="I145" s="1553"/>
      <c r="J145" s="1553"/>
      <c r="K145" s="1174"/>
      <c r="L145" s="1179">
        <f>IF(K145&lt;&gt;"", M145, 0)</f>
        <v>0</v>
      </c>
      <c r="M145" s="1180">
        <v>2</v>
      </c>
      <c r="N145" s="1225"/>
      <c r="O145" s="1295"/>
      <c r="P145" s="1296">
        <f>IF(O145&lt;&gt;"", M145, 0)</f>
        <v>0</v>
      </c>
      <c r="Q145" s="1273"/>
      <c r="R145" s="1280">
        <f>IF(Q145&lt;&gt;"",M145, 0)</f>
        <v>0</v>
      </c>
      <c r="S145" s="1246"/>
      <c r="T145" s="1191">
        <f>IF(S145&lt;&gt;"",M145,0)</f>
        <v>0</v>
      </c>
      <c r="U145" s="1251"/>
      <c r="V145" s="1261">
        <f>IF(U145&lt;&gt;"", M145, 0)</f>
        <v>0</v>
      </c>
    </row>
    <row r="146" spans="1:24">
      <c r="A146" s="1223"/>
      <c r="B146" s="1186"/>
      <c r="C146" s="1222"/>
      <c r="D146" s="1222"/>
      <c r="E146" s="1191"/>
      <c r="F146" s="1186"/>
      <c r="G146" s="1186"/>
      <c r="H146" s="1186"/>
      <c r="I146" s="1186"/>
      <c r="J146" s="1186"/>
      <c r="K146" s="1194"/>
      <c r="L146" s="1189"/>
      <c r="M146" s="1190"/>
      <c r="N146" s="1229"/>
      <c r="O146" s="1293"/>
      <c r="P146" s="1296"/>
      <c r="Q146" s="1278"/>
      <c r="R146" s="1280"/>
      <c r="S146" s="1268"/>
      <c r="T146" s="1191"/>
      <c r="U146" s="1250"/>
      <c r="V146" s="1261"/>
    </row>
    <row r="147" spans="1:24">
      <c r="A147" s="1223"/>
      <c r="B147" s="1186"/>
      <c r="C147" s="1222"/>
      <c r="D147" s="1222"/>
      <c r="E147" s="1191"/>
      <c r="F147" s="1186"/>
      <c r="G147" s="1186" t="s">
        <v>315</v>
      </c>
      <c r="H147" s="1186"/>
      <c r="I147" s="1186"/>
      <c r="J147" s="1231">
        <f>'Secondary Input'!E10</f>
        <v>0</v>
      </c>
      <c r="K147" s="1194"/>
      <c r="L147" s="1189"/>
      <c r="M147" s="1190"/>
      <c r="N147" s="1229"/>
      <c r="O147" s="1293"/>
      <c r="P147" s="1296"/>
      <c r="Q147" s="1278"/>
      <c r="R147" s="1280"/>
      <c r="S147" s="1268"/>
      <c r="T147" s="1191"/>
      <c r="U147" s="1250"/>
      <c r="V147" s="1261"/>
    </row>
    <row r="148" spans="1:24">
      <c r="A148" s="1223"/>
      <c r="B148" s="1186"/>
      <c r="C148" s="1222"/>
      <c r="D148" s="1222"/>
      <c r="E148" s="1191"/>
      <c r="F148" s="1186"/>
      <c r="G148" s="1186" t="s">
        <v>2093</v>
      </c>
      <c r="H148" s="1186"/>
      <c r="I148" s="1186"/>
      <c r="J148" s="1231">
        <f>'Primary Input'!E9</f>
        <v>0</v>
      </c>
      <c r="K148" s="1194"/>
      <c r="L148" s="1189"/>
      <c r="M148" s="1190"/>
      <c r="N148" s="1229"/>
      <c r="O148" s="1293"/>
      <c r="P148" s="1296"/>
      <c r="Q148" s="1278"/>
      <c r="R148" s="1280"/>
      <c r="S148" s="1268"/>
      <c r="T148" s="1191"/>
      <c r="U148" s="1250"/>
      <c r="V148" s="1261"/>
    </row>
    <row r="149" spans="1:24">
      <c r="A149" s="1223"/>
      <c r="B149" s="1186"/>
      <c r="C149" s="1222"/>
      <c r="D149" s="1222"/>
      <c r="E149" s="1191"/>
      <c r="F149" s="1186"/>
      <c r="G149" s="1186"/>
      <c r="H149" s="1186"/>
      <c r="I149" s="1186"/>
      <c r="J149" s="1186"/>
      <c r="K149" s="1194"/>
      <c r="L149" s="1189"/>
      <c r="M149" s="1190"/>
      <c r="N149" s="1229"/>
      <c r="O149" s="1298"/>
      <c r="P149" s="1296"/>
      <c r="Q149" s="1282"/>
      <c r="R149" s="1280"/>
      <c r="S149" s="1270"/>
      <c r="T149" s="1191"/>
      <c r="U149" s="1253"/>
      <c r="V149" s="1261"/>
    </row>
    <row r="150" spans="1:24">
      <c r="A150" s="1223"/>
      <c r="B150" s="1186"/>
      <c r="C150" s="1222"/>
      <c r="D150" s="1232" t="s">
        <v>1892</v>
      </c>
      <c r="E150" s="1553" t="s">
        <v>316</v>
      </c>
      <c r="F150" s="1553"/>
      <c r="G150" s="1553"/>
      <c r="H150" s="1553"/>
      <c r="I150" s="1553"/>
      <c r="J150" s="1553"/>
      <c r="K150" s="1174"/>
      <c r="L150" s="1179">
        <f>IF(K150&lt;&gt;"", M150, 0)</f>
        <v>0</v>
      </c>
      <c r="M150" s="1180">
        <v>3</v>
      </c>
      <c r="N150" s="1225"/>
      <c r="O150" s="1295"/>
      <c r="P150" s="1296">
        <f>IF(O150&lt;&gt;"", M150, 0)</f>
        <v>0</v>
      </c>
      <c r="Q150" s="1273"/>
      <c r="R150" s="1280">
        <f>IF(Q150&lt;&gt;"",M150, 0)</f>
        <v>0</v>
      </c>
      <c r="S150" s="1246"/>
      <c r="T150" s="1191">
        <f>IF(S150&lt;&gt;"",M150,0)</f>
        <v>0</v>
      </c>
      <c r="U150" s="1251"/>
      <c r="V150" s="1261">
        <f>IF(U150&lt;&gt;"", M150, 0)</f>
        <v>0</v>
      </c>
    </row>
    <row r="151" spans="1:24">
      <c r="A151" s="1223"/>
      <c r="B151" s="1186"/>
      <c r="C151" s="1222"/>
      <c r="D151" s="1232"/>
      <c r="F151" s="1155" t="s">
        <v>2151</v>
      </c>
      <c r="G151" s="1313"/>
      <c r="H151" s="1313"/>
      <c r="I151" s="1313"/>
      <c r="J151" s="1313"/>
      <c r="K151" s="1179"/>
      <c r="L151" s="1179"/>
      <c r="M151" s="1180"/>
      <c r="N151" s="1225"/>
      <c r="O151" s="1302"/>
      <c r="P151" s="1296"/>
      <c r="Q151" s="1286"/>
      <c r="R151" s="1280"/>
      <c r="S151" s="1246"/>
      <c r="T151" s="1191"/>
      <c r="U151" s="1254"/>
      <c r="V151" s="1261"/>
    </row>
    <row r="152" spans="1:24">
      <c r="A152" s="1223"/>
      <c r="B152" s="1186"/>
      <c r="C152" s="1222"/>
      <c r="D152" s="1155" t="s">
        <v>2152</v>
      </c>
      <c r="F152" s="1155"/>
      <c r="G152" s="1313"/>
      <c r="H152" s="1313"/>
      <c r="I152" s="1313"/>
      <c r="J152" s="1313"/>
      <c r="K152" s="1179"/>
      <c r="L152" s="1179"/>
      <c r="M152" s="1180"/>
      <c r="N152" s="1225"/>
      <c r="O152" s="1302"/>
      <c r="P152" s="1296"/>
      <c r="Q152" s="1286"/>
      <c r="R152" s="1280"/>
      <c r="S152" s="1246"/>
      <c r="T152" s="1191"/>
      <c r="U152" s="1254"/>
      <c r="V152" s="1261"/>
    </row>
    <row r="153" spans="1:24">
      <c r="A153" s="1223"/>
      <c r="B153" s="1186"/>
      <c r="C153" s="1222"/>
      <c r="D153" s="1155" t="s">
        <v>2131</v>
      </c>
      <c r="F153" s="1155"/>
      <c r="G153" s="1313"/>
      <c r="H153" s="1313"/>
      <c r="I153" s="1313"/>
      <c r="J153" s="1313"/>
      <c r="K153" s="1179"/>
      <c r="L153" s="1179"/>
      <c r="M153" s="1180"/>
      <c r="N153" s="1225"/>
      <c r="O153" s="1302"/>
      <c r="P153" s="1296"/>
      <c r="Q153" s="1286"/>
      <c r="R153" s="1280"/>
      <c r="S153" s="1246"/>
      <c r="T153" s="1191"/>
      <c r="U153" s="1254"/>
      <c r="V153" s="1261"/>
    </row>
    <row r="154" spans="1:24">
      <c r="A154" s="1224"/>
      <c r="B154" s="1181"/>
      <c r="C154" s="1181"/>
      <c r="D154" s="1181"/>
      <c r="E154" s="1181"/>
      <c r="F154" s="1181"/>
      <c r="G154" s="1181"/>
      <c r="H154" s="1181"/>
      <c r="I154" s="1181"/>
      <c r="J154" s="1181"/>
      <c r="K154" s="1181"/>
      <c r="L154" s="1182"/>
      <c r="M154" s="1182"/>
      <c r="N154" s="1226"/>
      <c r="O154" s="1302"/>
      <c r="P154" s="1296"/>
      <c r="Q154" s="1286"/>
      <c r="R154" s="1280"/>
      <c r="S154" s="1246"/>
      <c r="T154" s="1191"/>
      <c r="U154" s="1254"/>
      <c r="V154" s="1261"/>
    </row>
    <row r="155" spans="1:24">
      <c r="A155" s="1186"/>
      <c r="B155" s="1186" t="s">
        <v>230</v>
      </c>
      <c r="C155" s="1186" t="s">
        <v>2078</v>
      </c>
      <c r="D155" s="1186"/>
      <c r="E155" s="1191"/>
      <c r="F155" s="1186"/>
      <c r="G155" s="1186"/>
      <c r="H155" s="1186"/>
      <c r="I155" s="1186"/>
      <c r="J155" s="1186"/>
      <c r="K155" s="1174"/>
      <c r="L155" s="1179">
        <f>IF(K155&lt;&gt;"", M155, 0)</f>
        <v>0</v>
      </c>
      <c r="M155" s="1180">
        <v>10</v>
      </c>
      <c r="N155" s="1183"/>
      <c r="O155" s="1295"/>
      <c r="P155" s="1296">
        <f>IF(O155&lt;&gt;"", M155, 0)</f>
        <v>0</v>
      </c>
      <c r="Q155" s="1273"/>
      <c r="R155" s="1280">
        <f>IF(Q155&lt;&gt;"",M155, 0)</f>
        <v>0</v>
      </c>
      <c r="S155" s="1246"/>
      <c r="T155" s="1191">
        <f>IF(S155&lt;&gt;"",M155,0)</f>
        <v>0</v>
      </c>
      <c r="U155" s="1251"/>
      <c r="V155" s="1261">
        <f>IF(U155&lt;&gt;"", M155, 0)</f>
        <v>0</v>
      </c>
    </row>
    <row r="156" spans="1:24">
      <c r="A156" s="1181"/>
      <c r="B156" s="1181"/>
      <c r="C156" s="1181"/>
      <c r="D156" s="1181"/>
      <c r="E156" s="1181"/>
      <c r="F156" s="1181"/>
      <c r="G156" s="1181"/>
      <c r="H156" s="1181"/>
      <c r="I156" s="1181"/>
      <c r="J156" s="1181"/>
      <c r="K156" s="1181"/>
      <c r="L156" s="1182"/>
      <c r="M156" s="1182"/>
      <c r="N156" s="1183"/>
      <c r="O156" s="1293"/>
      <c r="P156" s="1296"/>
      <c r="Q156" s="1278"/>
      <c r="R156" s="1280"/>
      <c r="S156" s="1268"/>
      <c r="T156" s="1191"/>
      <c r="U156" s="1250"/>
      <c r="V156" s="1261"/>
    </row>
    <row r="157" spans="1:24">
      <c r="A157" s="1186"/>
      <c r="B157" s="1186" t="s">
        <v>175</v>
      </c>
      <c r="C157" s="1186" t="s">
        <v>2132</v>
      </c>
      <c r="D157" s="1186"/>
      <c r="E157" s="1191"/>
      <c r="F157" s="1186"/>
      <c r="G157" s="1186"/>
      <c r="H157" s="1186"/>
      <c r="I157" s="1186"/>
      <c r="J157" s="1186"/>
      <c r="K157" s="1174"/>
      <c r="L157" s="1179">
        <f>IF(K157&lt;&gt;"", M157, 0)</f>
        <v>0</v>
      </c>
      <c r="M157" s="1180">
        <v>4</v>
      </c>
      <c r="N157" s="1183"/>
      <c r="O157" s="1295"/>
      <c r="P157" s="1296">
        <f>IF(O157&lt;&gt;"", M157, 0)</f>
        <v>0</v>
      </c>
      <c r="Q157" s="1273"/>
      <c r="R157" s="1280">
        <f>IF(Q157&lt;&gt;"",M157, 0)</f>
        <v>0</v>
      </c>
      <c r="S157" s="1246"/>
      <c r="T157" s="1191">
        <f>IF(S157&lt;&gt;"",M157,0)</f>
        <v>0</v>
      </c>
      <c r="U157" s="1251"/>
      <c r="V157" s="1261">
        <f>IF(U157&lt;&gt;"", M157, 0)</f>
        <v>0</v>
      </c>
    </row>
    <row r="158" spans="1:24">
      <c r="A158" s="1186"/>
      <c r="B158" s="1186"/>
      <c r="C158" s="1186"/>
      <c r="D158" s="1186"/>
      <c r="E158" s="1186"/>
      <c r="F158" s="1186"/>
      <c r="G158" s="1186"/>
      <c r="H158" s="1186"/>
      <c r="I158" s="1186"/>
      <c r="J158" s="1186"/>
      <c r="K158" s="1186"/>
      <c r="L158" s="1183"/>
      <c r="M158" s="1183"/>
      <c r="N158" s="1183"/>
      <c r="O158" s="1298"/>
      <c r="P158" s="1296"/>
      <c r="Q158" s="1282"/>
      <c r="R158" s="1280"/>
      <c r="S158" s="1270"/>
      <c r="T158" s="1191"/>
      <c r="U158" s="1253"/>
      <c r="V158" s="1261"/>
      <c r="X158" s="1156"/>
    </row>
    <row r="159" spans="1:24">
      <c r="A159" s="1201"/>
      <c r="B159" s="1201" t="s">
        <v>176</v>
      </c>
      <c r="C159" s="1201" t="s">
        <v>2133</v>
      </c>
      <c r="D159" s="1201"/>
      <c r="E159" s="1221"/>
      <c r="F159" s="1201"/>
      <c r="G159" s="1201"/>
      <c r="H159" s="1201"/>
      <c r="I159" s="1201"/>
      <c r="J159" s="1201"/>
      <c r="K159" s="1201"/>
      <c r="L159" s="1233"/>
      <c r="M159" s="1233"/>
      <c r="N159" s="1226"/>
      <c r="O159" s="1293"/>
      <c r="P159" s="1296"/>
      <c r="Q159" s="1278"/>
      <c r="R159" s="1280"/>
      <c r="S159" s="1268"/>
      <c r="T159" s="1191"/>
      <c r="U159" s="1250"/>
      <c r="V159" s="1261"/>
    </row>
    <row r="160" spans="1:24">
      <c r="A160" s="1186"/>
      <c r="B160" s="1186"/>
      <c r="C160" s="1186" t="s">
        <v>2135</v>
      </c>
      <c r="D160" s="1186"/>
      <c r="E160" s="1191"/>
      <c r="F160" s="1186"/>
      <c r="G160" s="1186"/>
      <c r="H160" s="1186"/>
      <c r="I160" s="1186"/>
      <c r="J160" s="1186"/>
      <c r="K160" s="1186"/>
      <c r="L160" s="1183"/>
      <c r="M160" s="1183"/>
      <c r="N160" s="1226"/>
      <c r="O160" s="1293"/>
      <c r="P160" s="1296"/>
      <c r="Q160" s="1278"/>
      <c r="R160" s="1280"/>
      <c r="S160" s="1268"/>
      <c r="T160" s="1191"/>
      <c r="U160" s="1250"/>
      <c r="V160" s="1261"/>
    </row>
    <row r="161" spans="1:22">
      <c r="A161" s="1186"/>
      <c r="B161" s="1186"/>
      <c r="C161" s="1186" t="s">
        <v>2134</v>
      </c>
      <c r="D161" s="1186"/>
      <c r="E161" s="1186"/>
      <c r="F161" s="1186"/>
      <c r="G161" s="1186"/>
      <c r="H161" s="1186"/>
      <c r="I161" s="1186"/>
      <c r="J161" s="1186"/>
      <c r="K161" s="1186"/>
      <c r="L161" s="1183"/>
      <c r="M161" s="1183"/>
      <c r="N161" s="1226"/>
      <c r="O161" s="1293"/>
      <c r="P161" s="1296"/>
      <c r="Q161" s="1278"/>
      <c r="R161" s="1280"/>
      <c r="S161" s="1268"/>
      <c r="T161" s="1191"/>
      <c r="U161" s="1250"/>
      <c r="V161" s="1261"/>
    </row>
    <row r="162" spans="1:22">
      <c r="A162" s="1186"/>
      <c r="B162" s="1186"/>
      <c r="C162" s="1186"/>
      <c r="D162" s="1186"/>
      <c r="E162" s="1186"/>
      <c r="F162" s="1186"/>
      <c r="G162" s="1186"/>
      <c r="H162" s="1186"/>
      <c r="I162" s="1186"/>
      <c r="J162" s="1186"/>
      <c r="K162" s="1186"/>
      <c r="L162" s="1183"/>
      <c r="M162" s="1183"/>
      <c r="N162" s="1226"/>
      <c r="O162" s="1293"/>
      <c r="P162" s="1296"/>
      <c r="Q162" s="1278"/>
      <c r="R162" s="1280"/>
      <c r="S162" s="1268"/>
      <c r="T162" s="1191"/>
      <c r="U162" s="1250"/>
      <c r="V162" s="1262"/>
    </row>
    <row r="163" spans="1:22">
      <c r="A163" s="1186"/>
      <c r="B163" s="1186"/>
      <c r="C163" s="1186"/>
      <c r="D163" s="1186" t="s">
        <v>465</v>
      </c>
      <c r="E163" s="1186"/>
      <c r="F163" s="1186"/>
      <c r="G163" s="1186"/>
      <c r="H163" s="1186"/>
      <c r="I163" s="1186"/>
      <c r="J163" s="1186"/>
      <c r="K163" s="1186"/>
      <c r="L163" s="1183"/>
      <c r="M163" s="1183"/>
      <c r="N163" s="1226"/>
      <c r="O163" s="1293"/>
      <c r="P163" s="1296"/>
      <c r="Q163" s="1278"/>
      <c r="R163" s="1280"/>
      <c r="S163" s="1268"/>
      <c r="T163" s="1191"/>
      <c r="U163" s="1250"/>
      <c r="V163" s="1262"/>
    </row>
    <row r="164" spans="1:22">
      <c r="A164" s="1186"/>
      <c r="B164" s="1186"/>
      <c r="C164" s="1186"/>
      <c r="D164" s="1186" t="s">
        <v>466</v>
      </c>
      <c r="E164" s="1186"/>
      <c r="F164" s="1186"/>
      <c r="G164" s="1186"/>
      <c r="H164" s="1186"/>
      <c r="I164" s="1186"/>
      <c r="J164" s="1186"/>
      <c r="K164" s="1186"/>
      <c r="L164" s="1183"/>
      <c r="M164" s="1183"/>
      <c r="N164" s="1226"/>
      <c r="O164" s="1293"/>
      <c r="P164" s="1296"/>
      <c r="Q164" s="1278"/>
      <c r="R164" s="1280"/>
      <c r="S164" s="1268"/>
      <c r="T164" s="1191"/>
      <c r="U164" s="1250"/>
      <c r="V164" s="1262"/>
    </row>
    <row r="165" spans="1:22">
      <c r="A165" s="1186"/>
      <c r="B165" s="1186"/>
      <c r="C165" s="1186"/>
      <c r="D165" s="1186"/>
      <c r="E165" s="1186" t="s">
        <v>467</v>
      </c>
      <c r="F165" s="1186"/>
      <c r="G165" s="1186"/>
      <c r="H165" s="1186"/>
      <c r="I165" s="1186"/>
      <c r="J165" s="1186"/>
      <c r="K165" s="1186"/>
      <c r="L165" s="1183"/>
      <c r="M165" s="1183"/>
      <c r="N165" s="1226"/>
      <c r="O165" s="1293"/>
      <c r="P165" s="1296"/>
      <c r="Q165" s="1278"/>
      <c r="R165" s="1280"/>
      <c r="S165" s="1268"/>
      <c r="T165" s="1191"/>
      <c r="U165" s="1250"/>
      <c r="V165" s="1262"/>
    </row>
    <row r="166" spans="1:22">
      <c r="A166" s="1186"/>
      <c r="B166" s="1186"/>
      <c r="C166" s="1186"/>
      <c r="D166" s="1186"/>
      <c r="E166" s="1186" t="s">
        <v>468</v>
      </c>
      <c r="F166" s="1186"/>
      <c r="G166" s="1186"/>
      <c r="H166" s="1186"/>
      <c r="I166" s="1186"/>
      <c r="J166" s="1186"/>
      <c r="K166" s="1186"/>
      <c r="L166" s="1183"/>
      <c r="M166" s="1183"/>
      <c r="N166" s="1226"/>
      <c r="O166" s="1293"/>
      <c r="P166" s="1296"/>
      <c r="Q166" s="1278"/>
      <c r="R166" s="1280"/>
      <c r="S166" s="1268"/>
      <c r="T166" s="1191"/>
      <c r="U166" s="1250"/>
      <c r="V166" s="1262"/>
    </row>
    <row r="167" spans="1:22">
      <c r="A167" s="1186"/>
      <c r="B167" s="1186"/>
      <c r="C167" s="1186"/>
      <c r="D167" s="1186"/>
      <c r="E167" s="1186" t="s">
        <v>470</v>
      </c>
      <c r="F167" s="1186"/>
      <c r="G167" s="1186"/>
      <c r="H167" s="1186"/>
      <c r="I167" s="1186"/>
      <c r="J167" s="1186"/>
      <c r="K167" s="1186"/>
      <c r="L167" s="1183"/>
      <c r="M167" s="1183"/>
      <c r="N167" s="1226"/>
      <c r="O167" s="1293"/>
      <c r="P167" s="1296"/>
      <c r="Q167" s="1278"/>
      <c r="R167" s="1280"/>
      <c r="S167" s="1268"/>
      <c r="T167" s="1191"/>
      <c r="U167" s="1250"/>
      <c r="V167" s="1262"/>
    </row>
    <row r="168" spans="1:22">
      <c r="A168" s="1186"/>
      <c r="B168" s="1186"/>
      <c r="C168" s="1186"/>
      <c r="D168" s="1186"/>
      <c r="E168" s="1186" t="s">
        <v>469</v>
      </c>
      <c r="F168" s="1186"/>
      <c r="G168" s="1186"/>
      <c r="H168" s="1186"/>
      <c r="I168" s="1186"/>
      <c r="J168" s="1186"/>
      <c r="K168" s="1186"/>
      <c r="L168" s="1183"/>
      <c r="M168" s="1183"/>
      <c r="N168" s="1226"/>
      <c r="O168" s="1293"/>
      <c r="P168" s="1296"/>
      <c r="Q168" s="1278"/>
      <c r="R168" s="1280"/>
      <c r="S168" s="1268"/>
      <c r="T168" s="1191"/>
      <c r="U168" s="1250"/>
      <c r="V168" s="1262"/>
    </row>
    <row r="169" spans="1:22">
      <c r="A169" s="1186"/>
      <c r="B169" s="1186"/>
      <c r="C169" s="1186"/>
      <c r="D169" s="1186"/>
      <c r="E169" s="1186" t="s">
        <v>471</v>
      </c>
      <c r="F169" s="1186"/>
      <c r="G169" s="1186"/>
      <c r="H169" s="1186"/>
      <c r="I169" s="1186"/>
      <c r="J169" s="1186"/>
      <c r="K169" s="1186"/>
      <c r="L169" s="1183"/>
      <c r="M169" s="1183"/>
      <c r="N169" s="1226"/>
      <c r="O169" s="1293"/>
      <c r="P169" s="1296"/>
      <c r="Q169" s="1278"/>
      <c r="R169" s="1280"/>
      <c r="S169" s="1268"/>
      <c r="T169" s="1191"/>
      <c r="U169" s="1250"/>
      <c r="V169" s="1262"/>
    </row>
    <row r="170" spans="1:22">
      <c r="A170" s="1186"/>
      <c r="B170" s="1186"/>
      <c r="C170" s="1186"/>
      <c r="D170" s="1186"/>
      <c r="E170" s="1186" t="s">
        <v>2094</v>
      </c>
      <c r="F170" s="1186"/>
      <c r="G170" s="1186"/>
      <c r="H170" s="1186"/>
      <c r="I170" s="1186"/>
      <c r="J170" s="1186"/>
      <c r="K170" s="1186"/>
      <c r="L170" s="1183"/>
      <c r="M170" s="1183"/>
      <c r="N170" s="1226"/>
      <c r="O170" s="1293"/>
      <c r="P170" s="1296"/>
      <c r="Q170" s="1278"/>
      <c r="R170" s="1280"/>
      <c r="S170" s="1268"/>
      <c r="T170" s="1191"/>
      <c r="U170" s="1250"/>
      <c r="V170" s="1262"/>
    </row>
    <row r="171" spans="1:22">
      <c r="A171" s="1186"/>
      <c r="B171" s="1186"/>
      <c r="C171" s="1186"/>
      <c r="D171" s="1186"/>
      <c r="E171" s="1186"/>
      <c r="F171" s="1186"/>
      <c r="G171" s="1186"/>
      <c r="H171" s="1186"/>
      <c r="I171" s="1186"/>
      <c r="J171" s="1186"/>
      <c r="K171" s="1186"/>
      <c r="L171" s="1183"/>
      <c r="M171" s="1183"/>
      <c r="N171" s="1226"/>
      <c r="O171" s="1293"/>
      <c r="P171" s="1296"/>
      <c r="Q171" s="1278"/>
      <c r="R171" s="1280"/>
      <c r="S171" s="1268"/>
      <c r="T171" s="1191"/>
      <c r="U171" s="1250"/>
      <c r="V171" s="1262"/>
    </row>
    <row r="172" spans="1:22">
      <c r="A172" s="1186"/>
      <c r="B172" s="1186"/>
      <c r="C172" s="1186"/>
      <c r="D172" s="1179" t="s">
        <v>1890</v>
      </c>
      <c r="E172" s="1191" t="s">
        <v>472</v>
      </c>
      <c r="F172" s="1186"/>
      <c r="G172" s="1186"/>
      <c r="H172" s="1186"/>
      <c r="I172" s="1186"/>
      <c r="J172" s="1186"/>
      <c r="K172" s="1174"/>
      <c r="L172" s="1179">
        <f>IF(K172&lt;&gt;"", M172, 0)</f>
        <v>0</v>
      </c>
      <c r="M172" s="1180">
        <v>4</v>
      </c>
      <c r="N172" s="1225"/>
      <c r="O172" s="1295"/>
      <c r="P172" s="1296">
        <f>IF(O172&lt;&gt;"", M172, 0)</f>
        <v>0</v>
      </c>
      <c r="Q172" s="1273"/>
      <c r="R172" s="1280">
        <f>IF(Q172&lt;&gt;"",M172, 0)</f>
        <v>0</v>
      </c>
      <c r="S172" s="1246"/>
      <c r="T172" s="1191">
        <f>IF(S172&lt;&gt;"",M172,0)</f>
        <v>0</v>
      </c>
      <c r="U172" s="1251"/>
      <c r="V172" s="1262">
        <f>IF(U172&lt;&gt;"", M172, 0)</f>
        <v>0</v>
      </c>
    </row>
    <row r="173" spans="1:22">
      <c r="A173" s="1186"/>
      <c r="B173" s="1186"/>
      <c r="C173" s="1186"/>
      <c r="D173" s="1179" t="s">
        <v>1892</v>
      </c>
      <c r="E173" s="1191" t="s">
        <v>473</v>
      </c>
      <c r="F173" s="1186"/>
      <c r="G173" s="1186"/>
      <c r="H173" s="1186"/>
      <c r="I173" s="1186"/>
      <c r="J173" s="1186"/>
      <c r="K173" s="1174"/>
      <c r="L173" s="1179">
        <f>IF(K173&lt;&gt;"", M173, 0)</f>
        <v>0</v>
      </c>
      <c r="M173" s="1180">
        <v>3</v>
      </c>
      <c r="N173" s="1225"/>
      <c r="O173" s="1295"/>
      <c r="P173" s="1296">
        <f>IF(O173&lt;&gt;"", M173, 0)</f>
        <v>0</v>
      </c>
      <c r="Q173" s="1273"/>
      <c r="R173" s="1280">
        <f>IF(Q173&lt;&gt;"",M173, 0)</f>
        <v>0</v>
      </c>
      <c r="S173" s="1246"/>
      <c r="T173" s="1191">
        <f>IF(S173&lt;&gt;"",M173,0)</f>
        <v>0</v>
      </c>
      <c r="U173" s="1251"/>
      <c r="V173" s="1262">
        <f>IF(U173&lt;&gt;"", M173, 0)</f>
        <v>0</v>
      </c>
    </row>
    <row r="174" spans="1:22">
      <c r="A174" s="1186"/>
      <c r="B174" s="1186"/>
      <c r="C174" s="1186"/>
      <c r="D174" s="1179" t="s">
        <v>1894</v>
      </c>
      <c r="E174" s="1191" t="s">
        <v>474</v>
      </c>
      <c r="F174" s="1186"/>
      <c r="G174" s="1186"/>
      <c r="H174" s="1186"/>
      <c r="I174" s="1186"/>
      <c r="J174" s="1186"/>
      <c r="K174" s="1174"/>
      <c r="L174" s="1179">
        <f>IF(K174&lt;&gt;"", M174, 0)</f>
        <v>0</v>
      </c>
      <c r="M174" s="1180">
        <v>2</v>
      </c>
      <c r="N174" s="1225"/>
      <c r="O174" s="1295"/>
      <c r="P174" s="1296">
        <f>IF(O174&lt;&gt;"", M174, 0)</f>
        <v>0</v>
      </c>
      <c r="Q174" s="1273"/>
      <c r="R174" s="1280">
        <f>IF(Q174&lt;&gt;"",M174, 0)</f>
        <v>0</v>
      </c>
      <c r="S174" s="1246"/>
      <c r="T174" s="1191">
        <f>IF(S174&lt;&gt;"",M174,0)</f>
        <v>0</v>
      </c>
      <c r="U174" s="1251"/>
      <c r="V174" s="1262">
        <f>IF(U174&lt;&gt;"", M174, 0)</f>
        <v>0</v>
      </c>
    </row>
    <row r="175" spans="1:22">
      <c r="A175" s="1186"/>
      <c r="B175" s="1186"/>
      <c r="C175" s="1186"/>
      <c r="D175" s="1186"/>
      <c r="E175" s="1191"/>
      <c r="F175" s="1186"/>
      <c r="G175" s="1186"/>
      <c r="H175" s="1186"/>
      <c r="I175" s="1186"/>
      <c r="J175" s="1186"/>
      <c r="K175" s="1186"/>
      <c r="L175" s="1186"/>
      <c r="M175" s="1186"/>
      <c r="N175" s="1223"/>
      <c r="O175" s="1293"/>
      <c r="P175" s="1296"/>
      <c r="Q175" s="1278"/>
      <c r="R175" s="1280"/>
      <c r="S175" s="1268"/>
      <c r="T175" s="1191"/>
      <c r="U175" s="1250"/>
      <c r="V175" s="1262"/>
    </row>
    <row r="176" spans="1:22">
      <c r="A176" s="1201"/>
      <c r="B176" s="1201"/>
      <c r="C176" s="1201"/>
      <c r="D176" s="1201"/>
      <c r="E176" s="1221"/>
      <c r="F176" s="1201"/>
      <c r="G176" s="1201"/>
      <c r="H176" s="1201"/>
      <c r="I176" s="1201"/>
      <c r="J176" s="1201"/>
      <c r="K176" s="1201"/>
      <c r="L176" s="1201"/>
      <c r="M176" s="1201"/>
      <c r="N176" s="1186"/>
      <c r="O176" s="1293"/>
      <c r="P176" s="1296"/>
      <c r="Q176" s="1278"/>
      <c r="R176" s="1280"/>
      <c r="S176" s="1268"/>
      <c r="T176" s="1191"/>
      <c r="U176" s="1250"/>
      <c r="V176" s="1262"/>
    </row>
    <row r="177" spans="1:22">
      <c r="A177" s="1177" t="s">
        <v>919</v>
      </c>
      <c r="B177" s="1178" t="s">
        <v>918</v>
      </c>
      <c r="C177" s="1186"/>
      <c r="D177" s="1186"/>
      <c r="E177" s="1191"/>
      <c r="F177" s="1186"/>
      <c r="G177" s="1186"/>
      <c r="H177" s="1186"/>
      <c r="I177" s="1186"/>
      <c r="J177" s="1186"/>
      <c r="K177" s="1194"/>
      <c r="L177" s="1189"/>
      <c r="M177" s="1190"/>
      <c r="N177" s="1190"/>
      <c r="O177" s="1293"/>
      <c r="P177" s="1296"/>
      <c r="Q177" s="1278"/>
      <c r="R177" s="1280"/>
      <c r="S177" s="1268"/>
      <c r="T177" s="1191"/>
      <c r="U177" s="1250"/>
      <c r="V177" s="1262"/>
    </row>
    <row r="178" spans="1:22">
      <c r="A178" s="1181"/>
      <c r="B178" s="1181"/>
      <c r="C178" s="1181"/>
      <c r="D178" s="1181"/>
      <c r="E178" s="1181"/>
      <c r="F178" s="1181"/>
      <c r="G178" s="1181"/>
      <c r="H178" s="1181"/>
      <c r="I178" s="1181"/>
      <c r="J178" s="1181"/>
      <c r="K178" s="1181"/>
      <c r="L178" s="1182"/>
      <c r="M178" s="1182"/>
      <c r="N178" s="1183"/>
      <c r="O178" s="1293"/>
      <c r="P178" s="1296"/>
      <c r="Q178" s="1278"/>
      <c r="R178" s="1280"/>
      <c r="S178" s="1268"/>
      <c r="T178" s="1191"/>
      <c r="U178" s="1250"/>
      <c r="V178" s="1262"/>
    </row>
    <row r="179" spans="1:22">
      <c r="A179" s="1186"/>
      <c r="B179" s="1186" t="s">
        <v>303</v>
      </c>
      <c r="C179" s="1186" t="s">
        <v>921</v>
      </c>
      <c r="D179" s="1186"/>
      <c r="E179" s="1191"/>
      <c r="F179" s="1186"/>
      <c r="G179" s="1186"/>
      <c r="H179" s="1186"/>
      <c r="I179" s="1186"/>
      <c r="J179" s="1186"/>
      <c r="K179" s="1194"/>
      <c r="L179" s="1189"/>
      <c r="M179" s="1190"/>
      <c r="N179" s="1190"/>
      <c r="O179" s="1293"/>
      <c r="P179" s="1296"/>
      <c r="Q179" s="1278"/>
      <c r="R179" s="1280"/>
      <c r="S179" s="1268"/>
      <c r="T179" s="1191"/>
      <c r="U179" s="1250"/>
      <c r="V179" s="1262"/>
    </row>
    <row r="180" spans="1:22">
      <c r="A180" s="1186"/>
      <c r="B180" s="1186"/>
      <c r="C180" s="1235" t="s">
        <v>2095</v>
      </c>
      <c r="D180" s="1186"/>
      <c r="E180" s="1191"/>
      <c r="F180" s="1186"/>
      <c r="G180" s="1186"/>
      <c r="H180" s="1186"/>
      <c r="I180" s="1186"/>
      <c r="J180" s="1186"/>
      <c r="K180" s="1194"/>
      <c r="L180" s="1189"/>
      <c r="M180" s="1190"/>
      <c r="N180" s="1190"/>
      <c r="O180" s="1293"/>
      <c r="P180" s="1296"/>
      <c r="Q180" s="1278"/>
      <c r="R180" s="1280"/>
      <c r="S180" s="1268"/>
      <c r="T180" s="1191"/>
      <c r="U180" s="1250"/>
      <c r="V180" s="1262"/>
    </row>
    <row r="181" spans="1:22">
      <c r="A181" s="1186"/>
      <c r="B181" s="1186"/>
      <c r="C181" s="1195" t="s">
        <v>1890</v>
      </c>
      <c r="D181" s="1186" t="s">
        <v>922</v>
      </c>
      <c r="E181" s="1191"/>
      <c r="F181" s="1186"/>
      <c r="G181" s="1186"/>
      <c r="H181" s="1186"/>
      <c r="I181" s="1186"/>
      <c r="J181" s="1186"/>
      <c r="K181" s="1194"/>
      <c r="L181" s="1189"/>
      <c r="M181" s="1190"/>
      <c r="N181" s="1190"/>
      <c r="O181" s="1293"/>
      <c r="P181" s="1296"/>
      <c r="Q181" s="1278"/>
      <c r="R181" s="1280"/>
      <c r="S181" s="1268"/>
      <c r="T181" s="1191"/>
      <c r="U181" s="1250"/>
      <c r="V181" s="1262"/>
    </row>
    <row r="182" spans="1:22" ht="69.75" customHeight="1">
      <c r="A182" s="1186"/>
      <c r="B182" s="1186"/>
      <c r="C182" s="1186"/>
      <c r="D182" s="1564" t="s">
        <v>1695</v>
      </c>
      <c r="E182" s="1564"/>
      <c r="F182" s="1564"/>
      <c r="G182" s="1564"/>
      <c r="H182" s="1564"/>
      <c r="I182" s="1564"/>
      <c r="J182" s="1564"/>
      <c r="K182" s="1194"/>
      <c r="L182" s="1189"/>
      <c r="M182" s="1190"/>
      <c r="N182" s="1190"/>
      <c r="O182" s="1293"/>
      <c r="P182" s="1296"/>
      <c r="Q182" s="1278"/>
      <c r="R182" s="1280"/>
      <c r="S182" s="1268"/>
      <c r="T182" s="1191"/>
      <c r="U182" s="1250"/>
      <c r="V182" s="1262"/>
    </row>
    <row r="183" spans="1:22">
      <c r="A183" s="1186"/>
      <c r="B183" s="1186"/>
      <c r="C183" s="1186"/>
      <c r="D183" s="1192"/>
      <c r="E183" s="1192" t="s">
        <v>923</v>
      </c>
      <c r="F183" s="1186"/>
      <c r="G183" s="1174"/>
      <c r="H183" s="1197"/>
      <c r="I183" s="1196"/>
      <c r="J183" s="1186" t="s">
        <v>925</v>
      </c>
      <c r="K183" s="1174"/>
      <c r="L183" s="1197"/>
      <c r="M183" s="1190"/>
      <c r="N183" s="1190"/>
      <c r="O183" s="1293"/>
      <c r="P183" s="1296"/>
      <c r="Q183" s="1278"/>
      <c r="R183" s="1280"/>
      <c r="S183" s="1268"/>
      <c r="T183" s="1191"/>
      <c r="U183" s="1250"/>
      <c r="V183" s="1262"/>
    </row>
    <row r="184" spans="1:22">
      <c r="A184" s="1186"/>
      <c r="B184" s="1186"/>
      <c r="C184" s="1186"/>
      <c r="D184" s="1186"/>
      <c r="E184" s="1191" t="s">
        <v>2096</v>
      </c>
      <c r="F184" s="1186"/>
      <c r="G184" s="1174"/>
      <c r="H184" s="1197"/>
      <c r="I184" s="1196"/>
      <c r="J184" s="1186" t="s">
        <v>926</v>
      </c>
      <c r="K184" s="1174"/>
      <c r="L184" s="1197"/>
      <c r="M184" s="1190"/>
      <c r="N184" s="1190"/>
      <c r="O184" s="1293"/>
      <c r="P184" s="1296"/>
      <c r="Q184" s="1278"/>
      <c r="R184" s="1280"/>
      <c r="S184" s="1268"/>
      <c r="T184" s="1191"/>
      <c r="U184" s="1250"/>
      <c r="V184" s="1262"/>
    </row>
    <row r="185" spans="1:22">
      <c r="A185" s="1186"/>
      <c r="B185" s="1186"/>
      <c r="C185" s="1186"/>
      <c r="D185" s="1186"/>
      <c r="E185" s="1191" t="s">
        <v>2097</v>
      </c>
      <c r="F185" s="1186"/>
      <c r="G185" s="1174"/>
      <c r="H185" s="1197"/>
      <c r="I185" s="1196"/>
      <c r="J185" s="1186" t="s">
        <v>927</v>
      </c>
      <c r="K185" s="1174"/>
      <c r="L185" s="1197"/>
      <c r="M185" s="1190"/>
      <c r="N185" s="1190"/>
      <c r="O185" s="1293"/>
      <c r="P185" s="1296"/>
      <c r="Q185" s="1278"/>
      <c r="R185" s="1280"/>
      <c r="S185" s="1268"/>
      <c r="T185" s="1191"/>
      <c r="U185" s="1250"/>
      <c r="V185" s="1262"/>
    </row>
    <row r="186" spans="1:22" ht="15.75" customHeight="1">
      <c r="A186" s="1186"/>
      <c r="B186" s="1186"/>
      <c r="C186" s="1186"/>
      <c r="D186" s="1186"/>
      <c r="E186" s="1191" t="s">
        <v>2098</v>
      </c>
      <c r="F186" s="1186"/>
      <c r="G186" s="1174"/>
      <c r="H186" s="1197"/>
      <c r="I186" s="1196"/>
      <c r="J186" s="1559" t="s">
        <v>2099</v>
      </c>
      <c r="K186" s="1567"/>
      <c r="L186" s="1569"/>
      <c r="M186" s="1190"/>
      <c r="N186" s="1190"/>
      <c r="O186" s="1293"/>
      <c r="P186" s="1296"/>
      <c r="Q186" s="1278"/>
      <c r="R186" s="1280"/>
      <c r="S186" s="1268"/>
      <c r="T186" s="1191"/>
      <c r="U186" s="1250"/>
      <c r="V186" s="1262"/>
    </row>
    <row r="187" spans="1:22" ht="19.5" customHeight="1">
      <c r="A187" s="1186"/>
      <c r="B187" s="1186"/>
      <c r="C187" s="1186"/>
      <c r="D187" s="1186"/>
      <c r="E187" s="1191" t="s">
        <v>924</v>
      </c>
      <c r="F187" s="1186"/>
      <c r="G187" s="1174"/>
      <c r="H187" s="1197"/>
      <c r="I187" s="1186"/>
      <c r="J187" s="1559"/>
      <c r="K187" s="1568"/>
      <c r="L187" s="1570"/>
      <c r="M187" s="1190"/>
      <c r="N187" s="1190"/>
      <c r="O187" s="1293"/>
      <c r="P187" s="1296"/>
      <c r="Q187" s="1278"/>
      <c r="R187" s="1280"/>
      <c r="S187" s="1268"/>
      <c r="T187" s="1191"/>
      <c r="U187" s="1250"/>
      <c r="V187" s="1262"/>
    </row>
    <row r="188" spans="1:22" ht="35.25" customHeight="1">
      <c r="A188" s="1186"/>
      <c r="B188" s="1186"/>
      <c r="C188" s="1186"/>
      <c r="D188" s="1186"/>
      <c r="E188" s="1560" t="s">
        <v>2100</v>
      </c>
      <c r="F188" s="1560"/>
      <c r="G188" s="1174"/>
      <c r="H188" s="1197"/>
      <c r="I188" s="1186"/>
      <c r="J188" s="1309"/>
      <c r="K188" s="1303">
        <f>SUM(G183:G188)+SUM(K183:K187)</f>
        <v>0</v>
      </c>
      <c r="L188" s="1303">
        <f>SUM(H183:H188)+SUM(L183:L187)</f>
        <v>0</v>
      </c>
      <c r="M188" s="1190"/>
      <c r="N188" s="1190"/>
      <c r="O188" s="1293"/>
      <c r="P188" s="1296"/>
      <c r="Q188" s="1278"/>
      <c r="R188" s="1280"/>
      <c r="S188" s="1268"/>
      <c r="T188" s="1191"/>
      <c r="U188" s="1250"/>
      <c r="V188" s="1262"/>
    </row>
    <row r="189" spans="1:22">
      <c r="A189" s="1186"/>
      <c r="B189" s="1186"/>
      <c r="C189" s="1186"/>
      <c r="D189" s="1186"/>
      <c r="E189" s="1565"/>
      <c r="F189" s="1565"/>
      <c r="G189" s="1565"/>
      <c r="H189" s="1565"/>
      <c r="I189" s="1565"/>
      <c r="J189" s="1565"/>
      <c r="K189" s="1311">
        <f>MIN(+K188,10)</f>
        <v>0</v>
      </c>
      <c r="L189" s="1310">
        <f>MIN(+L188,10)</f>
        <v>0</v>
      </c>
      <c r="M189" s="1190"/>
      <c r="N189" s="1190"/>
      <c r="O189" s="1295"/>
      <c r="P189" s="1299">
        <f>O189</f>
        <v>0</v>
      </c>
      <c r="Q189" s="1273"/>
      <c r="R189" s="1283">
        <f>Q189</f>
        <v>0</v>
      </c>
      <c r="S189" s="1246">
        <f>L189</f>
        <v>0</v>
      </c>
      <c r="T189" s="1244">
        <f>L189</f>
        <v>0</v>
      </c>
      <c r="U189" s="1251">
        <f>L189</f>
        <v>0</v>
      </c>
      <c r="V189" s="1263">
        <f>L189</f>
        <v>0</v>
      </c>
    </row>
    <row r="190" spans="1:22">
      <c r="A190" s="1186"/>
      <c r="B190" s="1186"/>
      <c r="C190" s="1186"/>
      <c r="D190" s="1186"/>
      <c r="E190" s="1304"/>
      <c r="F190" s="1304"/>
      <c r="G190" s="1304"/>
      <c r="H190" s="1304"/>
      <c r="I190" s="1304"/>
      <c r="J190" s="1304"/>
      <c r="K190" s="1205"/>
      <c r="L190" s="1205"/>
      <c r="M190" s="1190"/>
      <c r="N190" s="1190"/>
      <c r="O190" s="1298"/>
      <c r="P190" s="1305"/>
      <c r="Q190" s="1282"/>
      <c r="R190" s="1306"/>
      <c r="S190" s="1270"/>
      <c r="T190" s="1307"/>
      <c r="U190" s="1253"/>
      <c r="V190" s="1308"/>
    </row>
    <row r="191" spans="1:22">
      <c r="A191" s="1186"/>
      <c r="B191" s="1186"/>
      <c r="C191" s="1195" t="s">
        <v>1892</v>
      </c>
      <c r="D191" s="1186" t="s">
        <v>1269</v>
      </c>
      <c r="E191" s="1191"/>
      <c r="F191" s="1186"/>
      <c r="G191" s="1186"/>
      <c r="H191" s="1186"/>
      <c r="I191" s="1186"/>
      <c r="J191" s="1186"/>
      <c r="K191" s="1194"/>
      <c r="L191" s="1189"/>
      <c r="M191" s="1190"/>
      <c r="N191" s="1190"/>
      <c r="O191" s="1293"/>
      <c r="P191" s="1296"/>
      <c r="Q191" s="1278"/>
      <c r="R191" s="1280"/>
      <c r="S191" s="1268"/>
      <c r="T191" s="1191"/>
      <c r="U191" s="1250"/>
      <c r="V191" s="1262"/>
    </row>
    <row r="192" spans="1:22" ht="60.75" customHeight="1">
      <c r="A192" s="1186"/>
      <c r="B192" s="1186"/>
      <c r="C192" s="1186"/>
      <c r="D192" s="1564" t="s">
        <v>2153</v>
      </c>
      <c r="E192" s="1564"/>
      <c r="F192" s="1564"/>
      <c r="G192" s="1564"/>
      <c r="H192" s="1564"/>
      <c r="I192" s="1564"/>
      <c r="J192" s="1564"/>
      <c r="K192" s="1564"/>
      <c r="L192" s="1189"/>
      <c r="M192" s="1190"/>
      <c r="N192" s="1190"/>
      <c r="O192" s="1293"/>
      <c r="P192" s="1296"/>
      <c r="Q192" s="1278"/>
      <c r="R192" s="1280"/>
      <c r="S192" s="1268"/>
      <c r="T192" s="1191"/>
      <c r="U192" s="1250"/>
      <c r="V192" s="1262"/>
    </row>
    <row r="193" spans="1:24">
      <c r="A193" s="1186"/>
      <c r="B193" s="1186"/>
      <c r="C193" s="1186"/>
      <c r="D193" s="1192"/>
      <c r="E193" s="1192" t="s">
        <v>928</v>
      </c>
      <c r="F193" s="1186"/>
      <c r="G193" s="1174"/>
      <c r="H193" s="1185"/>
      <c r="I193" s="1198">
        <f>SQRT(G193*G193)</f>
        <v>0</v>
      </c>
      <c r="J193" s="1186" t="s">
        <v>933</v>
      </c>
      <c r="K193" s="1174"/>
      <c r="L193" s="1185"/>
      <c r="M193" s="1198">
        <f t="shared" ref="M193:M199" si="0">SQRT(K193*K193)</f>
        <v>0</v>
      </c>
      <c r="N193" s="1190"/>
      <c r="O193" s="1293"/>
      <c r="P193" s="1296"/>
      <c r="Q193" s="1278"/>
      <c r="R193" s="1280"/>
      <c r="S193" s="1268"/>
      <c r="T193" s="1191"/>
      <c r="U193" s="1250"/>
      <c r="V193" s="1262"/>
      <c r="W193" s="1198">
        <f>SQRT(H193*H193)</f>
        <v>0</v>
      </c>
      <c r="X193" s="1198">
        <f>SQRT(L193*L193)</f>
        <v>0</v>
      </c>
    </row>
    <row r="194" spans="1:24">
      <c r="A194" s="1186"/>
      <c r="B194" s="1186"/>
      <c r="C194" s="1186"/>
      <c r="D194" s="1186"/>
      <c r="E194" s="1191" t="s">
        <v>929</v>
      </c>
      <c r="F194" s="1186"/>
      <c r="G194" s="1174"/>
      <c r="H194" s="1185"/>
      <c r="I194" s="1198">
        <f t="shared" ref="I194:I199" si="1">SQRT(G194*G194)</f>
        <v>0</v>
      </c>
      <c r="J194" s="1186" t="s">
        <v>934</v>
      </c>
      <c r="K194" s="1174"/>
      <c r="L194" s="1185"/>
      <c r="M194" s="1198">
        <f t="shared" si="0"/>
        <v>0</v>
      </c>
      <c r="N194" s="1190"/>
      <c r="O194" s="1293"/>
      <c r="P194" s="1296"/>
      <c r="Q194" s="1278"/>
      <c r="R194" s="1280"/>
      <c r="S194" s="1268"/>
      <c r="T194" s="1191"/>
      <c r="U194" s="1250"/>
      <c r="V194" s="1262"/>
      <c r="W194" s="1198">
        <f t="shared" ref="W194:W199" si="2">SQRT(H194*H194)</f>
        <v>0</v>
      </c>
      <c r="X194" s="1198">
        <f t="shared" ref="X194:X199" si="3">SQRT(L194*L194)</f>
        <v>0</v>
      </c>
    </row>
    <row r="195" spans="1:24" ht="12.75" customHeight="1">
      <c r="A195" s="1186"/>
      <c r="B195" s="1186"/>
      <c r="C195" s="1186"/>
      <c r="D195" s="1186"/>
      <c r="E195" s="1560" t="s">
        <v>930</v>
      </c>
      <c r="F195" s="1560"/>
      <c r="G195" s="1174"/>
      <c r="H195" s="1185"/>
      <c r="I195" s="1198">
        <f t="shared" si="1"/>
        <v>0</v>
      </c>
      <c r="J195" s="1186" t="s">
        <v>935</v>
      </c>
      <c r="K195" s="1174"/>
      <c r="L195" s="1185"/>
      <c r="M195" s="1198">
        <f t="shared" si="0"/>
        <v>0</v>
      </c>
      <c r="N195" s="1190"/>
      <c r="O195" s="1293"/>
      <c r="P195" s="1296"/>
      <c r="Q195" s="1278"/>
      <c r="R195" s="1280"/>
      <c r="S195" s="1268"/>
      <c r="T195" s="1191"/>
      <c r="U195" s="1250"/>
      <c r="V195" s="1262"/>
      <c r="W195" s="1198">
        <f t="shared" si="2"/>
        <v>0</v>
      </c>
      <c r="X195" s="1198">
        <f t="shared" si="3"/>
        <v>0</v>
      </c>
    </row>
    <row r="196" spans="1:24">
      <c r="A196" s="1186"/>
      <c r="B196" s="1186"/>
      <c r="C196" s="1186"/>
      <c r="D196" s="1186"/>
      <c r="E196" s="1191" t="s">
        <v>2101</v>
      </c>
      <c r="F196" s="1186"/>
      <c r="G196" s="1174"/>
      <c r="H196" s="1185"/>
      <c r="I196" s="1198">
        <f t="shared" si="1"/>
        <v>0</v>
      </c>
      <c r="J196" s="1186" t="s">
        <v>936</v>
      </c>
      <c r="K196" s="1174"/>
      <c r="L196" s="1185"/>
      <c r="M196" s="1198">
        <f t="shared" si="0"/>
        <v>0</v>
      </c>
      <c r="N196" s="1190"/>
      <c r="O196" s="1293"/>
      <c r="P196" s="1296"/>
      <c r="Q196" s="1278"/>
      <c r="R196" s="1280"/>
      <c r="S196" s="1268"/>
      <c r="T196" s="1191"/>
      <c r="U196" s="1250"/>
      <c r="V196" s="1262"/>
      <c r="W196" s="1198">
        <f t="shared" si="2"/>
        <v>0</v>
      </c>
      <c r="X196" s="1198">
        <f t="shared" si="3"/>
        <v>0</v>
      </c>
    </row>
    <row r="197" spans="1:24" ht="12.75" customHeight="1">
      <c r="A197" s="1186"/>
      <c r="B197" s="1186"/>
      <c r="C197" s="1186"/>
      <c r="D197" s="1186"/>
      <c r="E197" s="1560" t="s">
        <v>931</v>
      </c>
      <c r="F197" s="1560"/>
      <c r="G197" s="1174"/>
      <c r="H197" s="1185"/>
      <c r="I197" s="1198">
        <f t="shared" si="1"/>
        <v>0</v>
      </c>
      <c r="J197" s="1186" t="s">
        <v>937</v>
      </c>
      <c r="K197" s="1174"/>
      <c r="L197" s="1185"/>
      <c r="M197" s="1198">
        <f t="shared" si="0"/>
        <v>0</v>
      </c>
      <c r="N197" s="1190"/>
      <c r="O197" s="1293"/>
      <c r="P197" s="1296"/>
      <c r="Q197" s="1278"/>
      <c r="R197" s="1280"/>
      <c r="S197" s="1268"/>
      <c r="T197" s="1191"/>
      <c r="U197" s="1250"/>
      <c r="V197" s="1262"/>
      <c r="W197" s="1198">
        <f t="shared" si="2"/>
        <v>0</v>
      </c>
      <c r="X197" s="1198">
        <f t="shared" si="3"/>
        <v>0</v>
      </c>
    </row>
    <row r="198" spans="1:24">
      <c r="A198" s="1186"/>
      <c r="B198" s="1186"/>
      <c r="C198" s="1186"/>
      <c r="D198" s="1186"/>
      <c r="E198" s="1560" t="s">
        <v>938</v>
      </c>
      <c r="F198" s="1560"/>
      <c r="G198" s="1174"/>
      <c r="H198" s="1185"/>
      <c r="I198" s="1198">
        <f t="shared" si="1"/>
        <v>0</v>
      </c>
      <c r="J198" s="1186" t="s">
        <v>939</v>
      </c>
      <c r="K198" s="1174"/>
      <c r="L198" s="1197"/>
      <c r="M198" s="1198">
        <f t="shared" si="0"/>
        <v>0</v>
      </c>
      <c r="N198" s="1190"/>
      <c r="O198" s="1293"/>
      <c r="P198" s="1296"/>
      <c r="Q198" s="1278"/>
      <c r="R198" s="1280"/>
      <c r="S198" s="1268"/>
      <c r="T198" s="1191"/>
      <c r="U198" s="1250"/>
      <c r="V198" s="1262"/>
      <c r="W198" s="1198">
        <f t="shared" si="2"/>
        <v>0</v>
      </c>
      <c r="X198" s="1198">
        <f t="shared" si="3"/>
        <v>0</v>
      </c>
    </row>
    <row r="199" spans="1:24" ht="27" customHeight="1">
      <c r="A199" s="1186"/>
      <c r="B199" s="1186"/>
      <c r="C199" s="1186"/>
      <c r="D199" s="1186"/>
      <c r="E199" s="1560" t="s">
        <v>932</v>
      </c>
      <c r="F199" s="1560"/>
      <c r="G199" s="1174"/>
      <c r="H199" s="1185"/>
      <c r="I199" s="1198">
        <f t="shared" si="1"/>
        <v>0</v>
      </c>
      <c r="J199" s="1186" t="s">
        <v>1308</v>
      </c>
      <c r="K199" s="1174"/>
      <c r="L199" s="1197"/>
      <c r="M199" s="1198">
        <f t="shared" si="0"/>
        <v>0</v>
      </c>
      <c r="N199" s="1190"/>
      <c r="O199" s="1293"/>
      <c r="P199" s="1296"/>
      <c r="Q199" s="1278"/>
      <c r="R199" s="1280"/>
      <c r="S199" s="1268"/>
      <c r="T199" s="1191"/>
      <c r="U199" s="1250"/>
      <c r="V199" s="1262"/>
      <c r="W199" s="1198">
        <f t="shared" si="2"/>
        <v>0</v>
      </c>
      <c r="X199" s="1198">
        <f t="shared" si="3"/>
        <v>0</v>
      </c>
    </row>
    <row r="200" spans="1:24">
      <c r="A200" s="1186"/>
      <c r="B200" s="1186"/>
      <c r="C200" s="1186"/>
      <c r="D200" s="1186"/>
      <c r="E200" s="1191"/>
      <c r="F200" s="1186"/>
      <c r="G200" s="1186"/>
      <c r="H200" s="1186"/>
      <c r="I200" s="1196">
        <f>SQRT(K200*K200)</f>
        <v>0</v>
      </c>
      <c r="J200" s="1186"/>
      <c r="K200" s="1186"/>
      <c r="L200" s="1189"/>
      <c r="M200" s="1190"/>
      <c r="N200" s="1190"/>
      <c r="O200" s="1293"/>
      <c r="P200" s="1296"/>
      <c r="Q200" s="1278"/>
      <c r="R200" s="1280"/>
      <c r="S200" s="1268"/>
      <c r="T200" s="1191"/>
      <c r="U200" s="1250"/>
      <c r="V200" s="1262"/>
    </row>
    <row r="201" spans="1:24">
      <c r="A201" s="1186"/>
      <c r="B201" s="1186"/>
      <c r="C201" s="1186"/>
      <c r="D201" s="1186"/>
      <c r="E201" s="1191"/>
      <c r="F201" s="1186"/>
      <c r="G201" s="1186"/>
      <c r="H201" s="1186"/>
      <c r="I201" s="1186"/>
      <c r="J201" s="1186"/>
      <c r="K201" s="1194"/>
      <c r="L201" s="1189"/>
      <c r="M201" s="1190"/>
      <c r="N201" s="1190"/>
      <c r="O201" s="1293"/>
      <c r="P201" s="1296"/>
      <c r="Q201" s="1278"/>
      <c r="R201" s="1280"/>
      <c r="S201" s="1268"/>
      <c r="T201" s="1191"/>
      <c r="U201" s="1250"/>
      <c r="V201" s="1262"/>
    </row>
    <row r="202" spans="1:24">
      <c r="A202" s="1186"/>
      <c r="B202" s="1186"/>
      <c r="C202" s="1186"/>
      <c r="D202" s="1186"/>
      <c r="E202" s="1191"/>
      <c r="F202" s="1186"/>
      <c r="G202" s="1186"/>
      <c r="H202" s="1186"/>
      <c r="I202" s="1186"/>
      <c r="J202" s="1186"/>
      <c r="K202" s="1174">
        <f>-SUM(I193:I199)+-SUM(M193:M199)</f>
        <v>0</v>
      </c>
      <c r="L202" s="1247">
        <f>-SUM(W193:W200)+-SUM(X193:X200)</f>
        <v>0</v>
      </c>
      <c r="M202" s="1190"/>
      <c r="N202" s="1190"/>
      <c r="O202" s="1295"/>
      <c r="P202" s="1296">
        <f>O202</f>
        <v>0</v>
      </c>
      <c r="Q202" s="1273"/>
      <c r="R202" s="1280">
        <f>Q202</f>
        <v>0</v>
      </c>
      <c r="S202" s="1271">
        <f>L203</f>
        <v>0</v>
      </c>
      <c r="T202" s="1191">
        <f>S202</f>
        <v>0</v>
      </c>
      <c r="U202" s="1251">
        <f>L203</f>
        <v>0</v>
      </c>
      <c r="V202" s="1262">
        <f>U202</f>
        <v>0</v>
      </c>
    </row>
    <row r="203" spans="1:24">
      <c r="A203" s="1186"/>
      <c r="B203" s="1186"/>
      <c r="C203" s="1186"/>
      <c r="D203" s="1186"/>
      <c r="E203" s="1191"/>
      <c r="F203" s="1186"/>
      <c r="G203" s="1186"/>
      <c r="H203" s="1186"/>
      <c r="I203" s="1186"/>
      <c r="J203" s="1186"/>
      <c r="K203" s="1303">
        <f>MIN(0,K202)</f>
        <v>0</v>
      </c>
      <c r="L203" s="1303">
        <f>MIN(0,L202)</f>
        <v>0</v>
      </c>
      <c r="M203" s="1190"/>
      <c r="N203" s="1190"/>
      <c r="O203" s="1293"/>
      <c r="P203" s="1296"/>
      <c r="Q203" s="1278"/>
      <c r="R203" s="1280"/>
      <c r="S203" s="1268"/>
      <c r="T203" s="1191"/>
      <c r="U203" s="1250"/>
      <c r="V203" s="1262"/>
    </row>
    <row r="204" spans="1:24" ht="27.75" customHeight="1">
      <c r="A204" s="1186"/>
      <c r="B204" s="1186"/>
      <c r="C204" s="1186"/>
      <c r="D204" s="1564" t="s">
        <v>2136</v>
      </c>
      <c r="E204" s="1564"/>
      <c r="F204" s="1564"/>
      <c r="G204" s="1564"/>
      <c r="H204" s="1564"/>
      <c r="I204" s="1564"/>
      <c r="J204" s="1564"/>
      <c r="K204" s="1194"/>
      <c r="L204" s="1189"/>
      <c r="M204" s="1190"/>
      <c r="N204" s="1190"/>
      <c r="O204" s="1293"/>
      <c r="P204" s="1296"/>
      <c r="Q204" s="1278"/>
      <c r="R204" s="1280"/>
      <c r="S204" s="1268"/>
      <c r="T204" s="1191"/>
      <c r="U204" s="1250"/>
      <c r="V204" s="1262"/>
    </row>
    <row r="205" spans="1:24">
      <c r="A205" s="1181"/>
      <c r="B205" s="1181"/>
      <c r="C205" s="1181"/>
      <c r="D205" s="1181"/>
      <c r="E205" s="1181"/>
      <c r="F205" s="1181"/>
      <c r="G205" s="1181"/>
      <c r="H205" s="1181"/>
      <c r="I205" s="1181"/>
      <c r="J205" s="1181"/>
      <c r="K205" s="1181"/>
      <c r="L205" s="1182"/>
      <c r="M205" s="1182"/>
      <c r="N205" s="1183"/>
      <c r="O205" s="1293"/>
      <c r="P205" s="1296"/>
      <c r="Q205" s="1278"/>
      <c r="R205" s="1280"/>
      <c r="S205" s="1268"/>
      <c r="T205" s="1191"/>
      <c r="U205" s="1250"/>
      <c r="V205" s="1262"/>
    </row>
    <row r="206" spans="1:24">
      <c r="A206" s="1177" t="s">
        <v>1018</v>
      </c>
      <c r="B206" s="1178" t="s">
        <v>1019</v>
      </c>
      <c r="C206" s="1186"/>
      <c r="D206" s="1186"/>
      <c r="E206" s="1191"/>
      <c r="F206" s="1186"/>
      <c r="G206" s="1186"/>
      <c r="H206" s="1186" t="s">
        <v>2137</v>
      </c>
      <c r="I206" s="1186"/>
      <c r="J206" s="1186"/>
      <c r="K206" s="1194"/>
      <c r="L206" s="1189"/>
      <c r="M206" s="1190"/>
      <c r="N206" s="1190"/>
      <c r="O206" s="1293"/>
      <c r="P206" s="1296"/>
      <c r="Q206" s="1278"/>
      <c r="R206" s="1280"/>
      <c r="S206" s="1268"/>
      <c r="T206" s="1191"/>
      <c r="U206" s="1250"/>
      <c r="V206" s="1262"/>
    </row>
    <row r="207" spans="1:24">
      <c r="A207" s="1181"/>
      <c r="B207" s="1181"/>
      <c r="C207" s="1181"/>
      <c r="D207" s="1181"/>
      <c r="E207" s="1181"/>
      <c r="F207" s="1181"/>
      <c r="G207" s="1181"/>
      <c r="H207" s="1181"/>
      <c r="I207" s="1181"/>
      <c r="J207" s="1181"/>
      <c r="K207" s="1181"/>
      <c r="L207" s="1182"/>
      <c r="M207" s="1182"/>
      <c r="N207" s="1183"/>
      <c r="O207" s="1293"/>
      <c r="P207" s="1296"/>
      <c r="Q207" s="1278"/>
      <c r="R207" s="1280"/>
      <c r="S207" s="1268"/>
      <c r="T207" s="1191"/>
      <c r="U207" s="1250"/>
      <c r="V207" s="1262"/>
    </row>
    <row r="208" spans="1:24">
      <c r="A208" s="1186"/>
      <c r="B208" s="1186" t="s">
        <v>303</v>
      </c>
      <c r="C208" s="1186" t="s">
        <v>2138</v>
      </c>
      <c r="D208" s="1186"/>
      <c r="E208" s="1191"/>
      <c r="F208" s="1186"/>
      <c r="G208" s="1186"/>
      <c r="H208" s="1186"/>
      <c r="I208" s="1186"/>
      <c r="J208" s="1186"/>
      <c r="K208" s="1174"/>
      <c r="L208" s="1179">
        <f>IF(K208&lt;&gt;"", M208, 0)</f>
        <v>0</v>
      </c>
      <c r="M208" s="1180">
        <v>5</v>
      </c>
      <c r="N208" s="1180"/>
      <c r="O208" s="1295"/>
      <c r="P208" s="1296">
        <f>IF(O208&lt;&gt;"", M208, 0)</f>
        <v>0</v>
      </c>
      <c r="Q208" s="1273"/>
      <c r="R208" s="1280">
        <f>IF(Q208&lt;&gt;"", M208, 0)</f>
        <v>0</v>
      </c>
      <c r="S208" s="1246"/>
      <c r="T208" s="1208">
        <f>IF(S208&lt;&gt;"", M208, 0)</f>
        <v>0</v>
      </c>
      <c r="U208" s="1251"/>
      <c r="V208" s="1262">
        <f>IF(U208&lt;&gt;"",M208, 0)</f>
        <v>0</v>
      </c>
    </row>
    <row r="209" spans="1:22">
      <c r="A209" s="1186"/>
      <c r="B209" s="1186"/>
      <c r="C209" s="1186"/>
      <c r="D209" s="1186"/>
      <c r="E209" s="1191"/>
      <c r="F209" s="1186"/>
      <c r="G209" s="1186"/>
      <c r="H209" s="1186"/>
      <c r="I209" s="1186"/>
      <c r="J209" s="1186"/>
      <c r="K209" s="1194"/>
      <c r="L209" s="1189"/>
      <c r="M209" s="1190"/>
      <c r="N209" s="1190"/>
      <c r="O209" s="1293"/>
      <c r="P209" s="1296"/>
      <c r="Q209" s="1278"/>
      <c r="R209" s="1280"/>
      <c r="S209" s="1268"/>
      <c r="T209" s="1208"/>
      <c r="U209" s="1250"/>
      <c r="V209" s="1262"/>
    </row>
    <row r="210" spans="1:22">
      <c r="A210" s="1186"/>
      <c r="B210" s="1186"/>
      <c r="C210" s="1186" t="s">
        <v>2102</v>
      </c>
      <c r="D210" s="1186"/>
      <c r="E210" s="1191"/>
      <c r="F210" s="1186"/>
      <c r="G210" s="1186"/>
      <c r="H210" s="1186"/>
      <c r="I210" s="1186"/>
      <c r="J210" s="1186"/>
      <c r="K210" s="1194"/>
      <c r="L210" s="1189"/>
      <c r="M210" s="1190"/>
      <c r="N210" s="1190"/>
      <c r="O210" s="1293"/>
      <c r="P210" s="1296"/>
      <c r="Q210" s="1278"/>
      <c r="R210" s="1280"/>
      <c r="S210" s="1268"/>
      <c r="T210" s="1208"/>
      <c r="U210" s="1250"/>
      <c r="V210" s="1262"/>
    </row>
    <row r="211" spans="1:22">
      <c r="A211" s="1181"/>
      <c r="B211" s="1181"/>
      <c r="C211" s="1181"/>
      <c r="D211" s="1181"/>
      <c r="E211" s="1181"/>
      <c r="F211" s="1181"/>
      <c r="G211" s="1181"/>
      <c r="H211" s="1181"/>
      <c r="I211" s="1181"/>
      <c r="J211" s="1181"/>
      <c r="K211" s="1181"/>
      <c r="L211" s="1182"/>
      <c r="M211" s="1182"/>
      <c r="N211" s="1183"/>
      <c r="O211" s="1293"/>
      <c r="P211" s="1296"/>
      <c r="Q211" s="1278"/>
      <c r="R211" s="1280"/>
      <c r="S211" s="1268"/>
      <c r="T211" s="1208"/>
      <c r="U211" s="1250"/>
      <c r="V211" s="1262"/>
    </row>
    <row r="212" spans="1:22">
      <c r="A212" s="1186"/>
      <c r="B212" s="1186" t="s">
        <v>304</v>
      </c>
      <c r="C212" s="1186" t="s">
        <v>2139</v>
      </c>
      <c r="D212" s="1186"/>
      <c r="E212" s="1191"/>
      <c r="F212" s="1186"/>
      <c r="G212" s="1186"/>
      <c r="H212" s="1186"/>
      <c r="I212" s="1186"/>
      <c r="J212" s="1186"/>
      <c r="K212" s="1174"/>
      <c r="L212" s="1179">
        <f>IF(K212&lt;&gt;"", M212, 0)</f>
        <v>0</v>
      </c>
      <c r="M212" s="1180">
        <v>2</v>
      </c>
      <c r="N212" s="1180"/>
      <c r="O212" s="1295"/>
      <c r="P212" s="1296">
        <f>IF(O212&lt;&gt;"", M212, 0)</f>
        <v>0</v>
      </c>
      <c r="Q212" s="1273"/>
      <c r="R212" s="1280">
        <f>IF(Q212&lt;&gt;"", M212, 0)</f>
        <v>0</v>
      </c>
      <c r="S212" s="1246"/>
      <c r="T212" s="1208">
        <f>IF(S212&lt;&gt;"", M212, 0)</f>
        <v>0</v>
      </c>
      <c r="U212" s="1251"/>
      <c r="V212" s="1262">
        <f>IF(U212&lt;&gt;"",M212, 0)</f>
        <v>0</v>
      </c>
    </row>
    <row r="213" spans="1:22">
      <c r="A213" s="1186"/>
      <c r="B213" s="1186"/>
      <c r="C213" s="1186"/>
      <c r="D213" s="1186"/>
      <c r="E213" s="1191"/>
      <c r="F213" s="1186"/>
      <c r="G213" s="1186"/>
      <c r="H213" s="1186"/>
      <c r="I213" s="1186"/>
      <c r="J213" s="1186"/>
      <c r="K213" s="1194"/>
      <c r="L213" s="1189"/>
      <c r="M213" s="1190"/>
      <c r="N213" s="1190"/>
      <c r="O213" s="1293"/>
      <c r="P213" s="1296"/>
      <c r="Q213" s="1278"/>
      <c r="R213" s="1280"/>
      <c r="S213" s="1268"/>
      <c r="T213" s="1208"/>
      <c r="U213" s="1250"/>
      <c r="V213" s="1262"/>
    </row>
    <row r="214" spans="1:22">
      <c r="A214" s="1186"/>
      <c r="B214" s="1186"/>
      <c r="C214" s="1186" t="s">
        <v>1374</v>
      </c>
      <c r="D214" s="1186"/>
      <c r="E214" s="1191"/>
      <c r="F214" s="1186"/>
      <c r="G214" s="1186"/>
      <c r="H214" s="1186"/>
      <c r="I214" s="1186"/>
      <c r="J214" s="1186"/>
      <c r="K214" s="1194"/>
      <c r="L214" s="1189"/>
      <c r="M214" s="1190"/>
      <c r="N214" s="1190"/>
      <c r="O214" s="1293"/>
      <c r="P214" s="1296"/>
      <c r="Q214" s="1278"/>
      <c r="R214" s="1280"/>
      <c r="S214" s="1268"/>
      <c r="T214" s="1208"/>
      <c r="U214" s="1250"/>
      <c r="V214" s="1262"/>
    </row>
    <row r="215" spans="1:22">
      <c r="A215" s="1186"/>
      <c r="B215" s="1186"/>
      <c r="C215" s="1186" t="s">
        <v>1375</v>
      </c>
      <c r="D215" s="1186"/>
      <c r="E215" s="1191"/>
      <c r="F215" s="1186"/>
      <c r="G215" s="1186"/>
      <c r="H215" s="1186"/>
      <c r="I215" s="1186"/>
      <c r="J215" s="1186"/>
      <c r="K215" s="1194"/>
      <c r="L215" s="1189"/>
      <c r="M215" s="1190"/>
      <c r="N215" s="1190"/>
      <c r="O215" s="1293"/>
      <c r="P215" s="1296"/>
      <c r="Q215" s="1278"/>
      <c r="R215" s="1280"/>
      <c r="S215" s="1268"/>
      <c r="T215" s="1208"/>
      <c r="U215" s="1250"/>
      <c r="V215" s="1262"/>
    </row>
    <row r="216" spans="1:22">
      <c r="A216" s="1181"/>
      <c r="B216" s="1181"/>
      <c r="C216" s="1181"/>
      <c r="D216" s="1181"/>
      <c r="E216" s="1181"/>
      <c r="F216" s="1181"/>
      <c r="G216" s="1181"/>
      <c r="H216" s="1181"/>
      <c r="I216" s="1181"/>
      <c r="J216" s="1181"/>
      <c r="K216" s="1181"/>
      <c r="L216" s="1182"/>
      <c r="M216" s="1182"/>
      <c r="N216" s="1183"/>
      <c r="O216" s="1293"/>
      <c r="P216" s="1296"/>
      <c r="Q216" s="1278"/>
      <c r="R216" s="1280"/>
      <c r="S216" s="1268"/>
      <c r="T216" s="1208"/>
      <c r="U216" s="1250"/>
      <c r="V216" s="1262"/>
    </row>
    <row r="217" spans="1:22">
      <c r="A217" s="1186"/>
      <c r="B217" s="1186" t="s">
        <v>229</v>
      </c>
      <c r="C217" s="1186" t="s">
        <v>2140</v>
      </c>
      <c r="D217" s="1186"/>
      <c r="E217" s="1191"/>
      <c r="F217" s="1186"/>
      <c r="G217" s="1186"/>
      <c r="H217" s="1186"/>
      <c r="I217" s="1186"/>
      <c r="J217" s="1186"/>
      <c r="K217" s="1194"/>
      <c r="L217" s="1189"/>
      <c r="M217" s="1190"/>
      <c r="N217" s="1190"/>
      <c r="O217" s="1293"/>
      <c r="P217" s="1296"/>
      <c r="Q217" s="1278"/>
      <c r="R217" s="1280"/>
      <c r="S217" s="1268"/>
      <c r="T217" s="1208"/>
      <c r="U217" s="1250"/>
      <c r="V217" s="1262"/>
    </row>
    <row r="218" spans="1:22">
      <c r="A218" s="1186"/>
      <c r="B218" s="1186"/>
      <c r="C218" s="1186"/>
      <c r="D218" s="1186"/>
      <c r="E218" s="1191"/>
      <c r="F218" s="1186"/>
      <c r="G218" s="1186"/>
      <c r="H218" s="1186"/>
      <c r="I218" s="1186"/>
      <c r="J218" s="1186"/>
      <c r="K218" s="1194"/>
      <c r="L218" s="1189"/>
      <c r="M218" s="1190"/>
      <c r="N218" s="1190"/>
      <c r="O218" s="1293"/>
      <c r="P218" s="1296"/>
      <c r="Q218" s="1278"/>
      <c r="R218" s="1280"/>
      <c r="S218" s="1268"/>
      <c r="T218" s="1208"/>
      <c r="U218" s="1250"/>
      <c r="V218" s="1262"/>
    </row>
    <row r="219" spans="1:22">
      <c r="A219" s="1186"/>
      <c r="B219" s="1186"/>
      <c r="C219" s="1186"/>
      <c r="D219" s="1179" t="s">
        <v>1890</v>
      </c>
      <c r="E219" s="1179" t="s">
        <v>1020</v>
      </c>
      <c r="F219" s="1179"/>
      <c r="G219" s="1186"/>
      <c r="H219" s="1186"/>
      <c r="I219" s="1186"/>
      <c r="J219" s="1186"/>
      <c r="K219" s="1174"/>
      <c r="L219" s="1179">
        <f>IF(K219&lt;&gt;"", M219, 0)</f>
        <v>0</v>
      </c>
      <c r="M219" s="1180">
        <v>3</v>
      </c>
      <c r="N219" s="1180"/>
      <c r="O219" s="1295"/>
      <c r="P219" s="1296">
        <f>IF(O219&lt;&gt;"", M219, 0)</f>
        <v>0</v>
      </c>
      <c r="Q219" s="1273"/>
      <c r="R219" s="1280">
        <f>IF(Q219&lt;&gt;"", M219, 0)</f>
        <v>0</v>
      </c>
      <c r="S219" s="1246"/>
      <c r="T219" s="1208">
        <f>IF(S219&lt;&gt;"", M219, 0)</f>
        <v>0</v>
      </c>
      <c r="U219" s="1251"/>
      <c r="V219" s="1262">
        <f>IF(U219&lt;&gt;"",M219, 0)</f>
        <v>0</v>
      </c>
    </row>
    <row r="220" spans="1:22">
      <c r="A220" s="1186"/>
      <c r="B220" s="1186"/>
      <c r="C220" s="1186"/>
      <c r="D220" s="1179" t="s">
        <v>1892</v>
      </c>
      <c r="E220" s="1179" t="s">
        <v>1021</v>
      </c>
      <c r="F220" s="1179"/>
      <c r="G220" s="1186"/>
      <c r="H220" s="1186"/>
      <c r="I220" s="1186"/>
      <c r="J220" s="1186"/>
      <c r="K220" s="1174"/>
      <c r="L220" s="1179">
        <f>IF(K220&lt;&gt;"", M220, 0)</f>
        <v>0</v>
      </c>
      <c r="M220" s="1180">
        <v>1</v>
      </c>
      <c r="N220" s="1180"/>
      <c r="O220" s="1295"/>
      <c r="P220" s="1296">
        <f>IF(O220&lt;&gt;"", M220, 0)</f>
        <v>0</v>
      </c>
      <c r="Q220" s="1273"/>
      <c r="R220" s="1280">
        <f>IF(Q220&lt;&gt;"", M220, 0)</f>
        <v>0</v>
      </c>
      <c r="S220" s="1246"/>
      <c r="T220" s="1208">
        <f>IF(S220&lt;&gt;"", M220, 0)</f>
        <v>0</v>
      </c>
      <c r="U220" s="1251"/>
      <c r="V220" s="1262">
        <f>IF(U220&lt;&gt;"",M220, 0)</f>
        <v>0</v>
      </c>
    </row>
    <row r="221" spans="1:22">
      <c r="A221" s="1186"/>
      <c r="B221" s="1186"/>
      <c r="C221" s="1186"/>
      <c r="D221" s="1179" t="s">
        <v>1894</v>
      </c>
      <c r="E221" s="1179" t="s">
        <v>1022</v>
      </c>
      <c r="F221" s="1179"/>
      <c r="G221" s="1187"/>
      <c r="H221" s="1187"/>
      <c r="I221" s="1187"/>
      <c r="J221" s="1187"/>
      <c r="K221" s="1174"/>
      <c r="L221" s="1179">
        <f>IF(K221&lt;&gt;"", M221, 0)</f>
        <v>0</v>
      </c>
      <c r="M221" s="1180">
        <v>1</v>
      </c>
      <c r="N221" s="1180"/>
      <c r="O221" s="1295"/>
      <c r="P221" s="1296">
        <f>IF(O221&lt;&gt;"", M221, 0)</f>
        <v>0</v>
      </c>
      <c r="Q221" s="1273"/>
      <c r="R221" s="1280">
        <f>IF(Q221&lt;&gt;"", M221, 0)</f>
        <v>0</v>
      </c>
      <c r="S221" s="1246"/>
      <c r="T221" s="1208">
        <f>IF(S221&lt;&gt;"", M221, 0)</f>
        <v>0</v>
      </c>
      <c r="U221" s="1251"/>
      <c r="V221" s="1262">
        <f>IF(U221&lt;&gt;"",M221, 0)</f>
        <v>0</v>
      </c>
    </row>
    <row r="222" spans="1:22">
      <c r="A222" s="1186"/>
      <c r="B222" s="1186"/>
      <c r="C222" s="1186"/>
      <c r="D222" s="1179" t="s">
        <v>2141</v>
      </c>
      <c r="E222" s="1179" t="s">
        <v>2154</v>
      </c>
      <c r="F222" s="1179"/>
      <c r="G222" s="1187"/>
      <c r="H222" s="1187"/>
      <c r="I222" s="1187"/>
      <c r="J222" s="1187"/>
      <c r="K222" s="1174"/>
      <c r="L222" s="1179">
        <f>IF(K222&lt;&gt;"", M222, 0)</f>
        <v>0</v>
      </c>
      <c r="M222" s="1180">
        <v>2</v>
      </c>
      <c r="N222" s="1180"/>
      <c r="O222" s="1295"/>
      <c r="P222" s="1296">
        <f>IF(O222&lt;&gt;"", M222, 0)</f>
        <v>0</v>
      </c>
      <c r="Q222" s="1273"/>
      <c r="R222" s="1280">
        <f>IF(Q222&lt;&gt;"", M222, 0)</f>
        <v>0</v>
      </c>
      <c r="S222" s="1246"/>
      <c r="T222" s="1208">
        <f>IF(S222&lt;&gt;"", M222, 0)</f>
        <v>0</v>
      </c>
      <c r="U222" s="1251"/>
      <c r="V222" s="1262">
        <f>IF(U222&lt;&gt;"",M222, 0)</f>
        <v>0</v>
      </c>
    </row>
    <row r="223" spans="1:22">
      <c r="A223" s="1181"/>
      <c r="B223" s="1181"/>
      <c r="C223" s="1181"/>
      <c r="D223" s="1181"/>
      <c r="E223" s="1181"/>
      <c r="F223" s="1181"/>
      <c r="G223" s="1181"/>
      <c r="H223" s="1181"/>
      <c r="I223" s="1181"/>
      <c r="J223" s="1181"/>
      <c r="K223" s="1181"/>
      <c r="L223" s="1182"/>
      <c r="M223" s="1182"/>
      <c r="N223" s="1183"/>
      <c r="O223" s="1293"/>
      <c r="P223" s="1296"/>
      <c r="Q223" s="1278"/>
      <c r="R223" s="1280"/>
      <c r="S223" s="1268"/>
      <c r="T223" s="1208"/>
      <c r="U223" s="1250"/>
      <c r="V223" s="1262"/>
    </row>
    <row r="224" spans="1:22">
      <c r="A224" s="1186"/>
      <c r="B224" s="1186" t="s">
        <v>230</v>
      </c>
      <c r="C224" s="1186" t="s">
        <v>2155</v>
      </c>
      <c r="D224" s="1186"/>
      <c r="E224" s="1191"/>
      <c r="F224" s="1186"/>
      <c r="G224" s="1186"/>
      <c r="H224" s="1186"/>
      <c r="I224" s="1186"/>
      <c r="J224" s="1186"/>
      <c r="K224" s="1194"/>
      <c r="L224" s="1189"/>
      <c r="M224" s="1190"/>
      <c r="N224" s="1190"/>
      <c r="O224" s="1293"/>
      <c r="P224" s="1296"/>
      <c r="Q224" s="1278"/>
      <c r="R224" s="1280"/>
      <c r="S224" s="1268"/>
      <c r="T224" s="1208"/>
      <c r="U224" s="1250"/>
      <c r="V224" s="1262"/>
    </row>
    <row r="225" spans="1:22">
      <c r="A225" s="1186"/>
      <c r="B225" s="1186"/>
      <c r="C225" s="1186"/>
      <c r="D225" s="1186"/>
      <c r="E225" s="1191"/>
      <c r="F225" s="1186"/>
      <c r="G225" s="1186"/>
      <c r="H225" s="1186"/>
      <c r="I225" s="1186"/>
      <c r="J225" s="1186"/>
      <c r="K225" s="1194"/>
      <c r="L225" s="1189"/>
      <c r="M225" s="1190"/>
      <c r="N225" s="1190"/>
      <c r="O225" s="1293"/>
      <c r="P225" s="1296"/>
      <c r="Q225" s="1278"/>
      <c r="R225" s="1280"/>
      <c r="S225" s="1268"/>
      <c r="T225" s="1208"/>
      <c r="U225" s="1250"/>
      <c r="V225" s="1262"/>
    </row>
    <row r="226" spans="1:22" ht="45" customHeight="1">
      <c r="A226" s="1186"/>
      <c r="B226" s="1186"/>
      <c r="C226" s="1186"/>
      <c r="D226" s="1564" t="s">
        <v>2103</v>
      </c>
      <c r="E226" s="1564"/>
      <c r="F226" s="1564"/>
      <c r="G226" s="1564"/>
      <c r="H226" s="1564"/>
      <c r="I226" s="1564"/>
      <c r="J226" s="1564"/>
      <c r="K226" s="1194"/>
      <c r="L226" s="1189"/>
      <c r="M226" s="1190"/>
      <c r="N226" s="1190"/>
      <c r="O226" s="1293"/>
      <c r="P226" s="1296"/>
      <c r="Q226" s="1278"/>
      <c r="R226" s="1280"/>
      <c r="S226" s="1268"/>
      <c r="T226" s="1208"/>
      <c r="U226" s="1250"/>
      <c r="V226" s="1262"/>
    </row>
    <row r="227" spans="1:22">
      <c r="A227" s="1186"/>
      <c r="B227" s="1186"/>
      <c r="C227" s="1186"/>
      <c r="D227" s="1186"/>
      <c r="E227" s="1191"/>
      <c r="F227" s="1186"/>
      <c r="G227" s="1186"/>
      <c r="H227" s="1186"/>
      <c r="I227" s="1186"/>
      <c r="J227" s="1186"/>
      <c r="K227" s="1194"/>
      <c r="L227" s="1189"/>
      <c r="M227" s="1190"/>
      <c r="N227" s="1190"/>
      <c r="O227" s="1293"/>
      <c r="P227" s="1296"/>
      <c r="Q227" s="1278"/>
      <c r="R227" s="1280"/>
      <c r="S227" s="1268"/>
      <c r="T227" s="1208"/>
      <c r="U227" s="1250"/>
      <c r="V227" s="1262"/>
    </row>
    <row r="228" spans="1:22">
      <c r="A228" s="1186"/>
      <c r="B228" s="1186"/>
      <c r="C228" s="1186"/>
      <c r="D228" s="1186"/>
      <c r="E228" s="1191" t="s">
        <v>2104</v>
      </c>
      <c r="F228" s="1186"/>
      <c r="G228" s="1174"/>
      <c r="H228" s="1186"/>
      <c r="I228" s="1162" t="s">
        <v>1237</v>
      </c>
      <c r="J228" s="1199">
        <f>'Primary Input'!J21</f>
        <v>0</v>
      </c>
      <c r="K228" s="1200">
        <f>IF(J228=0,0,+G228/J228)</f>
        <v>0</v>
      </c>
      <c r="L228" s="1189"/>
      <c r="M228" s="1190"/>
      <c r="N228" s="1190"/>
      <c r="O228" s="1293"/>
      <c r="P228" s="1296"/>
      <c r="Q228" s="1278"/>
      <c r="R228" s="1280"/>
      <c r="S228" s="1268"/>
      <c r="T228" s="1208"/>
      <c r="U228" s="1250"/>
      <c r="V228" s="1262"/>
    </row>
    <row r="229" spans="1:22">
      <c r="A229" s="1186"/>
      <c r="B229" s="1186"/>
      <c r="C229" s="1186"/>
      <c r="D229" s="1186"/>
      <c r="E229" s="1191"/>
      <c r="F229" s="1186"/>
      <c r="G229" s="1186"/>
      <c r="H229" s="1186"/>
      <c r="I229" s="1186"/>
      <c r="J229" s="1186"/>
      <c r="K229" s="1194"/>
      <c r="L229" s="1189"/>
      <c r="M229" s="1190"/>
      <c r="N229" s="1190"/>
      <c r="O229" s="1293"/>
      <c r="P229" s="1296"/>
      <c r="Q229" s="1278"/>
      <c r="R229" s="1280"/>
      <c r="S229" s="1268"/>
      <c r="T229" s="1208"/>
      <c r="U229" s="1250"/>
      <c r="V229" s="1262"/>
    </row>
    <row r="230" spans="1:22">
      <c r="A230" s="1186"/>
      <c r="B230" s="1186"/>
      <c r="C230" s="1186"/>
      <c r="D230" s="1179" t="s">
        <v>1890</v>
      </c>
      <c r="E230" s="1191" t="s">
        <v>2105</v>
      </c>
      <c r="F230" s="1186"/>
      <c r="G230" s="1186"/>
      <c r="H230" s="1186"/>
      <c r="I230" s="1186"/>
      <c r="J230" s="1186"/>
      <c r="K230" s="1174"/>
      <c r="L230" s="1179">
        <f>IF(K230&lt;&gt;"", M230, 0)</f>
        <v>0</v>
      </c>
      <c r="M230" s="1180">
        <v>1</v>
      </c>
      <c r="N230" s="1180"/>
      <c r="O230" s="1295"/>
      <c r="P230" s="1296">
        <f>IF(O230&lt;&gt;"", M230, 0)</f>
        <v>0</v>
      </c>
      <c r="Q230" s="1273"/>
      <c r="R230" s="1280">
        <f>IF(Q230&lt;&gt;"", M230, 0)</f>
        <v>0</v>
      </c>
      <c r="S230" s="1246"/>
      <c r="T230" s="1208">
        <f>IF(S230&lt;&gt;"", M230, 0)</f>
        <v>0</v>
      </c>
      <c r="U230" s="1251"/>
      <c r="V230" s="1262">
        <f>IF(U230&lt;&gt;"",M230, 0)</f>
        <v>0</v>
      </c>
    </row>
    <row r="231" spans="1:22">
      <c r="A231" s="1186"/>
      <c r="B231" s="1186"/>
      <c r="C231" s="1186"/>
      <c r="D231" s="1179" t="s">
        <v>1892</v>
      </c>
      <c r="E231" s="1191" t="s">
        <v>2106</v>
      </c>
      <c r="F231" s="1179"/>
      <c r="G231" s="1186"/>
      <c r="H231" s="1186"/>
      <c r="I231" s="1186"/>
      <c r="J231" s="1186"/>
      <c r="K231" s="1174"/>
      <c r="L231" s="1179">
        <f>IF(K231&lt;&gt;"", M231, 0)</f>
        <v>0</v>
      </c>
      <c r="M231" s="1180">
        <v>2</v>
      </c>
      <c r="N231" s="1180"/>
      <c r="O231" s="1295"/>
      <c r="P231" s="1296">
        <f>IF(O231&lt;&gt;"", M231, 0)</f>
        <v>0</v>
      </c>
      <c r="Q231" s="1273"/>
      <c r="R231" s="1280">
        <f>IF(Q231&lt;&gt;"", M231, 0)</f>
        <v>0</v>
      </c>
      <c r="S231" s="1246"/>
      <c r="T231" s="1208">
        <f>IF(S231&lt;&gt;"", M231, 0)</f>
        <v>0</v>
      </c>
      <c r="U231" s="1251"/>
      <c r="V231" s="1262">
        <f>IF(U231&lt;&gt;"",M231, 0)</f>
        <v>0</v>
      </c>
    </row>
    <row r="232" spans="1:22">
      <c r="A232" s="1186"/>
      <c r="B232" s="1186"/>
      <c r="C232" s="1186"/>
      <c r="D232" s="1179" t="s">
        <v>1894</v>
      </c>
      <c r="E232" s="1191" t="s">
        <v>2107</v>
      </c>
      <c r="F232" s="1179"/>
      <c r="G232" s="1187"/>
      <c r="H232" s="1187"/>
      <c r="I232" s="1187"/>
      <c r="J232" s="1187"/>
      <c r="K232" s="1174"/>
      <c r="L232" s="1179">
        <f>IF(K232&lt;&gt;"", M232, 0)</f>
        <v>0</v>
      </c>
      <c r="M232" s="1180">
        <v>3</v>
      </c>
      <c r="N232" s="1180"/>
      <c r="O232" s="1295"/>
      <c r="P232" s="1296">
        <f>IF(O232&lt;&gt;"", M232, 0)</f>
        <v>0</v>
      </c>
      <c r="Q232" s="1273"/>
      <c r="R232" s="1280">
        <f>IF(Q232&lt;&gt;"", M232, 0)</f>
        <v>0</v>
      </c>
      <c r="S232" s="1246"/>
      <c r="T232" s="1208">
        <f>IF(S232&lt;&gt;"", M232, 0)</f>
        <v>0</v>
      </c>
      <c r="U232" s="1251"/>
      <c r="V232" s="1262">
        <f>IF(U232&lt;&gt;"",M232, 0)</f>
        <v>0</v>
      </c>
    </row>
    <row r="233" spans="1:22">
      <c r="A233" s="1186"/>
      <c r="B233" s="1186"/>
      <c r="C233" s="1186"/>
      <c r="D233" s="1186"/>
      <c r="E233" s="1191"/>
      <c r="F233" s="1186"/>
      <c r="G233" s="1186"/>
      <c r="H233" s="1186"/>
      <c r="I233" s="1186"/>
      <c r="J233" s="1186"/>
      <c r="K233" s="1194"/>
      <c r="L233" s="1189"/>
      <c r="M233" s="1190"/>
      <c r="N233" s="1190"/>
      <c r="O233" s="1293"/>
      <c r="P233" s="1296"/>
      <c r="Q233" s="1278"/>
      <c r="R233" s="1280"/>
      <c r="S233" s="1268"/>
      <c r="T233" s="1208"/>
      <c r="U233" s="1250"/>
      <c r="V233" s="1262"/>
    </row>
    <row r="234" spans="1:22" ht="22.5" customHeight="1">
      <c r="A234" s="1186"/>
      <c r="B234" s="1186"/>
      <c r="C234" s="1186"/>
      <c r="D234" s="1551" t="s">
        <v>1392</v>
      </c>
      <c r="E234" s="1551"/>
      <c r="F234" s="1551"/>
      <c r="G234" s="1551"/>
      <c r="H234" s="1551"/>
      <c r="I234" s="1551"/>
      <c r="J234" s="1551"/>
      <c r="K234" s="1194"/>
      <c r="L234" s="1189"/>
      <c r="M234" s="1190"/>
      <c r="N234" s="1190"/>
      <c r="O234" s="1293"/>
      <c r="P234" s="1296"/>
      <c r="Q234" s="1278"/>
      <c r="R234" s="1280"/>
      <c r="S234" s="1268"/>
      <c r="T234" s="1208"/>
      <c r="U234" s="1250"/>
      <c r="V234" s="1262"/>
    </row>
    <row r="235" spans="1:22">
      <c r="A235" s="1186"/>
      <c r="B235" s="1186"/>
      <c r="C235" s="1186"/>
      <c r="D235" s="1186" t="s">
        <v>1393</v>
      </c>
      <c r="E235" s="1191"/>
      <c r="F235" s="1186"/>
      <c r="G235" s="1186"/>
      <c r="H235" s="1186"/>
      <c r="I235" s="1186"/>
      <c r="J235" s="1186"/>
      <c r="K235" s="1194"/>
      <c r="L235" s="1189"/>
      <c r="M235" s="1190"/>
      <c r="N235" s="1190"/>
      <c r="O235" s="1293"/>
      <c r="P235" s="1296"/>
      <c r="Q235" s="1278"/>
      <c r="R235" s="1280"/>
      <c r="S235" s="1268"/>
      <c r="T235" s="1208"/>
      <c r="U235" s="1250"/>
      <c r="V235" s="1262"/>
    </row>
    <row r="236" spans="1:22">
      <c r="A236" s="1181"/>
      <c r="B236" s="1181"/>
      <c r="C236" s="1181"/>
      <c r="D236" s="1181"/>
      <c r="E236" s="1181"/>
      <c r="F236" s="1181"/>
      <c r="G236" s="1181"/>
      <c r="H236" s="1181"/>
      <c r="I236" s="1181"/>
      <c r="J236" s="1181"/>
      <c r="K236" s="1181"/>
      <c r="L236" s="1182"/>
      <c r="M236" s="1182"/>
      <c r="N236" s="1183"/>
      <c r="O236" s="1293"/>
      <c r="P236" s="1296"/>
      <c r="Q236" s="1278"/>
      <c r="R236" s="1280"/>
      <c r="S236" s="1268"/>
      <c r="T236" s="1208"/>
      <c r="U236" s="1250"/>
      <c r="V236" s="1262"/>
    </row>
    <row r="237" spans="1:22">
      <c r="A237" s="1186"/>
      <c r="B237" s="1186" t="s">
        <v>175</v>
      </c>
      <c r="C237" s="1186" t="s">
        <v>1376</v>
      </c>
      <c r="D237" s="1186"/>
      <c r="E237" s="1191"/>
      <c r="F237" s="1186"/>
      <c r="G237" s="1186"/>
      <c r="H237" s="1186"/>
      <c r="I237" s="1186"/>
      <c r="J237" s="1186"/>
      <c r="K237" s="1174"/>
      <c r="L237" s="1179">
        <f>IF(K237&lt;&gt;"", M237, 0)</f>
        <v>0</v>
      </c>
      <c r="M237" s="1180">
        <v>3</v>
      </c>
      <c r="N237" s="1180"/>
      <c r="O237" s="1295"/>
      <c r="P237" s="1296">
        <f>IF(O237&lt;&gt;"", M237, 0)</f>
        <v>0</v>
      </c>
      <c r="Q237" s="1273"/>
      <c r="R237" s="1280">
        <f>IF(Q237&lt;&gt;"", M237, 0)</f>
        <v>0</v>
      </c>
      <c r="S237" s="1246"/>
      <c r="T237" s="1208">
        <f>IF(S237&lt;&gt;"", M237, 0)</f>
        <v>0</v>
      </c>
      <c r="U237" s="1251"/>
      <c r="V237" s="1262">
        <f>IF(U237&lt;&gt;"",M237, 0)</f>
        <v>0</v>
      </c>
    </row>
    <row r="238" spans="1:22" ht="38.25" customHeight="1">
      <c r="A238" s="1186"/>
      <c r="B238" s="1186"/>
      <c r="C238" s="1554" t="s">
        <v>2156</v>
      </c>
      <c r="D238" s="1554"/>
      <c r="E238" s="1554"/>
      <c r="F238" s="1554"/>
      <c r="G238" s="1554"/>
      <c r="H238" s="1554"/>
      <c r="I238" s="1554"/>
      <c r="J238" s="1554"/>
      <c r="K238" s="1554"/>
      <c r="L238" s="1179"/>
      <c r="M238" s="1180"/>
      <c r="N238" s="1180"/>
      <c r="O238" s="1298"/>
      <c r="P238" s="1296"/>
      <c r="Q238" s="1282"/>
      <c r="R238" s="1280"/>
      <c r="S238" s="1270"/>
      <c r="T238" s="1208"/>
      <c r="U238" s="1253"/>
      <c r="V238" s="1262"/>
    </row>
    <row r="239" spans="1:22">
      <c r="A239" s="1181"/>
      <c r="B239" s="1181"/>
      <c r="C239" s="1181"/>
      <c r="D239" s="1181"/>
      <c r="E239" s="1181"/>
      <c r="F239" s="1181"/>
      <c r="G239" s="1181"/>
      <c r="H239" s="1181"/>
      <c r="I239" s="1181"/>
      <c r="J239" s="1181"/>
      <c r="K239" s="1181"/>
      <c r="L239" s="1182"/>
      <c r="M239" s="1182"/>
      <c r="N239" s="1183"/>
      <c r="O239" s="1293"/>
      <c r="P239" s="1296"/>
      <c r="Q239" s="1278"/>
      <c r="R239" s="1280"/>
      <c r="S239" s="1268"/>
      <c r="T239" s="1208"/>
      <c r="U239" s="1250"/>
      <c r="V239" s="1262"/>
    </row>
    <row r="240" spans="1:22">
      <c r="A240" s="1186"/>
      <c r="B240" s="1186"/>
      <c r="C240" s="1186"/>
      <c r="D240" s="1186"/>
      <c r="E240" s="1186"/>
      <c r="F240" s="1186"/>
      <c r="G240" s="1186"/>
      <c r="H240" s="1186"/>
      <c r="I240" s="1186"/>
      <c r="J240" s="1186"/>
      <c r="K240" s="1186"/>
      <c r="L240" s="1183"/>
      <c r="M240" s="1183"/>
      <c r="N240" s="1183"/>
      <c r="O240" s="1293"/>
      <c r="P240" s="1296"/>
      <c r="Q240" s="1278"/>
      <c r="R240" s="1280"/>
      <c r="S240" s="1268"/>
      <c r="T240" s="1208"/>
      <c r="U240" s="1250"/>
      <c r="V240" s="1262"/>
    </row>
    <row r="241" spans="1:22">
      <c r="A241" s="1177" t="s">
        <v>1394</v>
      </c>
      <c r="B241" s="1178" t="s">
        <v>1029</v>
      </c>
      <c r="C241" s="1186"/>
      <c r="D241" s="1186"/>
      <c r="E241" s="1191"/>
      <c r="F241" s="1186"/>
      <c r="G241" s="1186"/>
      <c r="H241" s="1186"/>
      <c r="I241" s="1186"/>
      <c r="J241" s="1186"/>
      <c r="K241" s="1194"/>
      <c r="L241" s="1189"/>
      <c r="M241" s="1190"/>
      <c r="N241" s="1190"/>
      <c r="O241" s="1293"/>
      <c r="P241" s="1296"/>
      <c r="Q241" s="1278"/>
      <c r="R241" s="1280"/>
      <c r="S241" s="1268"/>
      <c r="T241" s="1208"/>
      <c r="U241" s="1250"/>
      <c r="V241" s="1262"/>
    </row>
    <row r="242" spans="1:22">
      <c r="A242" s="1181"/>
      <c r="B242" s="1181"/>
      <c r="C242" s="1181"/>
      <c r="D242" s="1181"/>
      <c r="E242" s="1181"/>
      <c r="F242" s="1181"/>
      <c r="G242" s="1181"/>
      <c r="H242" s="1181"/>
      <c r="I242" s="1181"/>
      <c r="J242" s="1181"/>
      <c r="K242" s="1181"/>
      <c r="L242" s="1182"/>
      <c r="M242" s="1182"/>
      <c r="N242" s="1183"/>
      <c r="O242" s="1293"/>
      <c r="P242" s="1296"/>
      <c r="Q242" s="1278"/>
      <c r="R242" s="1280"/>
      <c r="S242" s="1268"/>
      <c r="T242" s="1208"/>
      <c r="U242" s="1250"/>
      <c r="V242" s="1262"/>
    </row>
    <row r="243" spans="1:22">
      <c r="A243" s="1201"/>
      <c r="B243" s="1201" t="s">
        <v>303</v>
      </c>
      <c r="C243" s="1202" t="s">
        <v>2143</v>
      </c>
      <c r="D243" s="1202"/>
      <c r="E243" s="1203"/>
      <c r="F243" s="1203"/>
      <c r="G243" s="1203"/>
      <c r="H243" s="1203"/>
      <c r="I243" s="1203"/>
      <c r="J243" s="1204"/>
      <c r="K243" s="1205"/>
      <c r="L243" s="1202"/>
      <c r="M243" s="1205"/>
      <c r="N243" s="1194"/>
      <c r="O243" s="1293"/>
      <c r="P243" s="1296"/>
      <c r="Q243" s="1278"/>
      <c r="R243" s="1280"/>
      <c r="S243" s="1268"/>
      <c r="T243" s="1208"/>
      <c r="U243" s="1250"/>
      <c r="V243" s="1262"/>
    </row>
    <row r="244" spans="1:22" ht="26.25" customHeight="1">
      <c r="A244" s="1186"/>
      <c r="B244" s="1186"/>
      <c r="C244" s="1566" t="s">
        <v>2144</v>
      </c>
      <c r="D244" s="1566"/>
      <c r="E244" s="1566"/>
      <c r="F244" s="1566"/>
      <c r="G244" s="1566"/>
      <c r="H244" s="1566"/>
      <c r="I244" s="1566"/>
      <c r="J244" s="1566"/>
      <c r="K244" s="1194"/>
      <c r="L244" s="1153"/>
      <c r="M244" s="1194"/>
      <c r="N244" s="1194"/>
      <c r="O244" s="1293"/>
      <c r="P244" s="1296"/>
      <c r="Q244" s="1278"/>
      <c r="R244" s="1280"/>
      <c r="S244" s="1268"/>
      <c r="T244" s="1208"/>
      <c r="U244" s="1250"/>
      <c r="V244" s="1262"/>
    </row>
    <row r="245" spans="1:22">
      <c r="A245" s="1186"/>
      <c r="B245" s="1186"/>
      <c r="C245" s="1153" t="s">
        <v>2142</v>
      </c>
      <c r="D245" s="1153"/>
      <c r="E245" s="1208"/>
      <c r="F245" s="1208"/>
      <c r="G245" s="1208"/>
      <c r="H245" s="1208"/>
      <c r="I245" s="1208"/>
      <c r="J245" s="1154"/>
      <c r="K245" s="1194"/>
      <c r="L245" s="1153"/>
      <c r="M245" s="1194"/>
      <c r="N245" s="1194"/>
      <c r="O245" s="1293"/>
      <c r="P245" s="1296"/>
      <c r="Q245" s="1278"/>
      <c r="R245" s="1280"/>
      <c r="S245" s="1268"/>
      <c r="T245" s="1208"/>
      <c r="U245" s="1250"/>
      <c r="V245" s="1262"/>
    </row>
    <row r="246" spans="1:22">
      <c r="A246" s="1186"/>
      <c r="B246" s="1186"/>
      <c r="C246" s="1186"/>
      <c r="D246" s="1186"/>
      <c r="E246" s="1191"/>
      <c r="F246" s="1186"/>
      <c r="G246" s="1186"/>
      <c r="H246" s="1186"/>
      <c r="I246" s="1186"/>
      <c r="J246" s="1186"/>
      <c r="K246" s="1194"/>
      <c r="L246" s="1189"/>
      <c r="M246" s="1190"/>
      <c r="N246" s="1190"/>
      <c r="O246" s="1293"/>
      <c r="P246" s="1296"/>
      <c r="Q246" s="1278"/>
      <c r="R246" s="1280"/>
      <c r="S246" s="1268"/>
      <c r="T246" s="1208"/>
      <c r="U246" s="1250"/>
      <c r="V246" s="1262"/>
    </row>
    <row r="247" spans="1:22">
      <c r="A247" s="1186"/>
      <c r="B247" s="1186"/>
      <c r="C247" s="1186"/>
      <c r="D247" s="1222" t="s">
        <v>544</v>
      </c>
      <c r="E247" s="1561"/>
      <c r="F247" s="1562"/>
      <c r="G247" s="1562"/>
      <c r="H247" s="1562"/>
      <c r="I247" s="1563"/>
      <c r="J247" s="1186"/>
      <c r="K247" s="1174"/>
      <c r="L247" s="1186">
        <f>IF(K247&lt;&gt;"", M247, 0)</f>
        <v>0</v>
      </c>
      <c r="M247" s="1183">
        <v>3</v>
      </c>
      <c r="N247" s="1183"/>
      <c r="O247" s="1295"/>
      <c r="P247" s="1296">
        <f>IF(O247&lt;&gt;"", M247, 0)</f>
        <v>0</v>
      </c>
      <c r="Q247" s="1273"/>
      <c r="R247" s="1280">
        <f>IF(Q247&lt;&gt;"", M247, 0)</f>
        <v>0</v>
      </c>
      <c r="S247" s="1246"/>
      <c r="T247" s="1208">
        <f>IF(S247&lt;&gt;"", M247, 0)</f>
        <v>0</v>
      </c>
      <c r="U247" s="1251"/>
      <c r="V247" s="1262">
        <f>IF(U247&lt;&gt;"",M247, 0)</f>
        <v>0</v>
      </c>
    </row>
    <row r="248" spans="1:22">
      <c r="A248" s="1181"/>
      <c r="B248" s="1181"/>
      <c r="C248" s="1181"/>
      <c r="D248" s="1181"/>
      <c r="E248" s="1181"/>
      <c r="F248" s="1181"/>
      <c r="G248" s="1181"/>
      <c r="H248" s="1181"/>
      <c r="I248" s="1181"/>
      <c r="J248" s="1181"/>
      <c r="K248" s="1181"/>
      <c r="L248" s="1182"/>
      <c r="M248" s="1182"/>
      <c r="N248" s="1183"/>
      <c r="O248" s="1293"/>
      <c r="P248" s="1296"/>
      <c r="Q248" s="1278"/>
      <c r="R248" s="1280">
        <f>IF(Q248&lt;&gt;"", M248, 0)</f>
        <v>0</v>
      </c>
      <c r="S248" s="1268"/>
      <c r="T248" s="1208"/>
      <c r="U248" s="1250"/>
      <c r="V248" s="1262"/>
    </row>
    <row r="249" spans="1:22">
      <c r="A249" s="1201"/>
      <c r="B249" s="1201" t="s">
        <v>304</v>
      </c>
      <c r="C249" s="1202" t="s">
        <v>2108</v>
      </c>
      <c r="D249" s="1202"/>
      <c r="E249" s="1203"/>
      <c r="F249" s="1203"/>
      <c r="G249" s="1203"/>
      <c r="H249" s="1203"/>
      <c r="I249" s="1203"/>
      <c r="J249" s="1204"/>
      <c r="K249" s="1174"/>
      <c r="L249" s="1179">
        <f>IF(K249&lt;&gt;"", M249, 0)</f>
        <v>0</v>
      </c>
      <c r="M249" s="1180">
        <v>3</v>
      </c>
      <c r="N249" s="1180"/>
      <c r="O249" s="1295"/>
      <c r="P249" s="1296">
        <f>IF(O249&lt;&gt;"", M249, 0)</f>
        <v>0</v>
      </c>
      <c r="Q249" s="1273"/>
      <c r="R249" s="1280">
        <f>IF(Q249&lt;&gt;"", M249, 0)</f>
        <v>0</v>
      </c>
      <c r="S249" s="1246"/>
      <c r="T249" s="1208">
        <f>IF(S249&lt;&gt;"", M249, 0)</f>
        <v>0</v>
      </c>
      <c r="U249" s="1251"/>
      <c r="V249" s="1262">
        <f>IF(U249&lt;&gt;"",M249, 0)</f>
        <v>0</v>
      </c>
    </row>
    <row r="250" spans="1:22">
      <c r="A250" s="1181"/>
      <c r="B250" s="1181"/>
      <c r="C250" s="1181"/>
      <c r="D250" s="1181"/>
      <c r="E250" s="1181"/>
      <c r="F250" s="1181"/>
      <c r="G250" s="1181"/>
      <c r="H250" s="1181"/>
      <c r="I250" s="1181"/>
      <c r="J250" s="1181"/>
      <c r="K250" s="1181"/>
      <c r="L250" s="1182"/>
      <c r="M250" s="1182"/>
      <c r="N250" s="1183"/>
      <c r="O250" s="1293"/>
      <c r="P250" s="1296"/>
      <c r="Q250" s="1278"/>
      <c r="R250" s="1280"/>
      <c r="S250" s="1267"/>
      <c r="T250" s="1208"/>
      <c r="U250" s="1250"/>
      <c r="V250" s="1262"/>
    </row>
    <row r="251" spans="1:22">
      <c r="A251" s="1186"/>
      <c r="B251" s="1186"/>
      <c r="C251" s="1186"/>
      <c r="D251" s="1186"/>
      <c r="E251" s="1186"/>
      <c r="F251" s="1186"/>
      <c r="G251" s="1186"/>
      <c r="H251" s="1186"/>
      <c r="I251" s="1186"/>
      <c r="J251" s="1186"/>
      <c r="K251" s="1186"/>
      <c r="L251" s="1183"/>
      <c r="M251" s="1183"/>
      <c r="N251" s="1183"/>
      <c r="O251" s="1293"/>
      <c r="P251" s="1296"/>
      <c r="Q251" s="1278"/>
      <c r="R251" s="1280"/>
      <c r="S251" s="1268"/>
      <c r="T251" s="1208"/>
      <c r="U251" s="1250"/>
      <c r="V251" s="1262"/>
    </row>
    <row r="252" spans="1:22">
      <c r="A252" s="1186"/>
      <c r="B252" s="1179" t="s">
        <v>229</v>
      </c>
      <c r="C252" s="1179" t="s">
        <v>1843</v>
      </c>
      <c r="D252" s="1179"/>
      <c r="E252" s="1179"/>
      <c r="F252" s="1179"/>
      <c r="G252" s="1179"/>
      <c r="H252" s="1179"/>
      <c r="I252" s="1179"/>
      <c r="J252" s="1179"/>
      <c r="K252" s="1179"/>
      <c r="L252" s="1179"/>
      <c r="M252" s="1180"/>
      <c r="N252" s="1180"/>
      <c r="O252" s="1293"/>
      <c r="P252" s="1296"/>
      <c r="Q252" s="1288"/>
      <c r="R252" s="1280"/>
      <c r="S252" s="1268"/>
      <c r="T252" s="1208"/>
      <c r="U252" s="1250"/>
      <c r="V252" s="1262"/>
    </row>
    <row r="253" spans="1:22">
      <c r="A253" s="1186"/>
      <c r="B253" s="1206"/>
      <c r="C253" s="1189"/>
      <c r="D253" s="1189"/>
      <c r="E253" s="1207" t="s">
        <v>1866</v>
      </c>
      <c r="F253" s="1207"/>
      <c r="G253" s="1207"/>
      <c r="H253" s="1208"/>
      <c r="I253" s="1207"/>
      <c r="J253" s="1209"/>
      <c r="K253" s="1174"/>
      <c r="L253" s="1189">
        <f>IF(K253&lt;&gt;"", M253, 0)</f>
        <v>0</v>
      </c>
      <c r="M253" s="1190">
        <v>-5</v>
      </c>
      <c r="N253" s="1190"/>
      <c r="O253" s="1295"/>
      <c r="P253" s="1296">
        <f>IF(O253&lt;&gt;"", M253, 0)</f>
        <v>0</v>
      </c>
      <c r="Q253" s="1273"/>
      <c r="R253" s="1280">
        <f>IF(Q253&lt;&gt;"", M253, 0)</f>
        <v>0</v>
      </c>
      <c r="S253" s="1246"/>
      <c r="T253" s="1208">
        <f>IF(S253&lt;&gt;"", M253, 0)</f>
        <v>0</v>
      </c>
      <c r="U253" s="1251"/>
      <c r="V253" s="1262">
        <f>IF(U253&lt;&gt;"",M253, 0)</f>
        <v>0</v>
      </c>
    </row>
    <row r="254" spans="1:22">
      <c r="A254" s="1186"/>
      <c r="B254" s="1206"/>
      <c r="C254" s="1189"/>
      <c r="D254" s="1189"/>
      <c r="E254" s="1210" t="s">
        <v>1395</v>
      </c>
      <c r="F254" s="1207" t="s">
        <v>1842</v>
      </c>
      <c r="G254" s="1189"/>
      <c r="H254" s="1208"/>
      <c r="I254" s="1211">
        <f>'Sources&amp;Uses'!F31+'Sources&amp;Uses'!F32</f>
        <v>0</v>
      </c>
      <c r="J254" s="1209"/>
      <c r="K254" s="1194"/>
      <c r="L254" s="1189"/>
      <c r="M254" s="1190"/>
      <c r="N254" s="1190"/>
      <c r="O254" s="1293"/>
      <c r="P254" s="1296"/>
      <c r="Q254" s="1278"/>
      <c r="R254" s="1280"/>
      <c r="S254" s="1267"/>
      <c r="T254" s="1208"/>
      <c r="U254" s="1250"/>
      <c r="V254" s="1262"/>
    </row>
    <row r="255" spans="1:22">
      <c r="A255" s="1186"/>
      <c r="B255" s="1206"/>
      <c r="C255" s="1189"/>
      <c r="D255" s="1189"/>
      <c r="E255" s="1207"/>
      <c r="F255" s="1207" t="s">
        <v>98</v>
      </c>
      <c r="G255" s="1189"/>
      <c r="H255" s="1208"/>
      <c r="I255" s="1212">
        <f>'Primary Input'!J21</f>
        <v>0</v>
      </c>
      <c r="J255" s="1209"/>
      <c r="K255" s="1194"/>
      <c r="L255" s="1189"/>
      <c r="M255" s="1190"/>
      <c r="N255" s="1190"/>
      <c r="O255" s="1293"/>
      <c r="P255" s="1296"/>
      <c r="Q255" s="1278"/>
      <c r="R255" s="1280"/>
      <c r="S255" s="1268"/>
      <c r="T255" s="1208"/>
      <c r="U255" s="1250"/>
      <c r="V255" s="1262"/>
    </row>
    <row r="256" spans="1:22">
      <c r="A256" s="1186"/>
      <c r="B256" s="1206"/>
      <c r="C256" s="1189"/>
      <c r="D256" s="1189"/>
      <c r="E256" s="1207"/>
      <c r="F256" s="1207"/>
      <c r="G256" s="1207"/>
      <c r="H256" s="1208"/>
      <c r="I256" s="1213">
        <f>IF(I255&lt;&gt;0,+I254/I255, 0)</f>
        <v>0</v>
      </c>
      <c r="J256" s="1209"/>
      <c r="K256" s="1194"/>
      <c r="L256" s="1189"/>
      <c r="M256" s="1190"/>
      <c r="N256" s="1190"/>
      <c r="O256" s="1293"/>
      <c r="P256" s="1296"/>
      <c r="Q256" s="1278"/>
      <c r="R256" s="1280"/>
      <c r="S256" s="1268"/>
      <c r="T256" s="1208"/>
      <c r="U256" s="1250"/>
      <c r="V256" s="1262"/>
    </row>
    <row r="257" spans="1:22">
      <c r="A257" s="1186"/>
      <c r="B257" s="1206"/>
      <c r="C257" s="1189"/>
      <c r="D257" s="1189"/>
      <c r="E257" s="1207" t="s">
        <v>1867</v>
      </c>
      <c r="F257" s="1207"/>
      <c r="G257" s="1207"/>
      <c r="H257" s="1208"/>
      <c r="I257" s="1208"/>
      <c r="J257" s="1209"/>
      <c r="K257" s="1174"/>
      <c r="L257" s="1189">
        <f>IF(K257&lt;&gt;"", M257, 0)</f>
        <v>0</v>
      </c>
      <c r="M257" s="1190">
        <v>-5</v>
      </c>
      <c r="N257" s="1190"/>
      <c r="O257" s="1295"/>
      <c r="P257" s="1296">
        <f>IF(O257&lt;&gt;"", M257, 0)</f>
        <v>0</v>
      </c>
      <c r="Q257" s="1273"/>
      <c r="R257" s="1280">
        <f>IF(Q257&lt;&gt;"", M257, 0)</f>
        <v>0</v>
      </c>
      <c r="S257" s="1246"/>
      <c r="T257" s="1208">
        <f>IF(S257&lt;&gt;"", M257, 0)</f>
        <v>0</v>
      </c>
      <c r="U257" s="1251"/>
      <c r="V257" s="1262">
        <f>IF(U257&lt;&gt;"",M257, 0)</f>
        <v>0</v>
      </c>
    </row>
    <row r="258" spans="1:22">
      <c r="A258" s="1181"/>
      <c r="B258" s="1181"/>
      <c r="C258" s="1181"/>
      <c r="D258" s="1181"/>
      <c r="E258" s="1181"/>
      <c r="F258" s="1181"/>
      <c r="G258" s="1181"/>
      <c r="H258" s="1181"/>
      <c r="I258" s="1181"/>
      <c r="J258" s="1181"/>
      <c r="K258" s="1181"/>
      <c r="L258" s="1182"/>
      <c r="M258" s="1182"/>
      <c r="N258" s="1183"/>
      <c r="O258" s="1293"/>
      <c r="P258" s="1296"/>
      <c r="Q258" s="1278"/>
      <c r="R258" s="1280"/>
      <c r="S258" s="1268"/>
      <c r="T258" s="1208"/>
      <c r="U258" s="1250"/>
      <c r="V258" s="1262"/>
    </row>
    <row r="259" spans="1:22">
      <c r="A259" s="1186"/>
      <c r="B259" s="1186"/>
      <c r="C259" s="1186"/>
      <c r="D259" s="1186"/>
      <c r="E259" s="1191"/>
      <c r="F259" s="1186"/>
      <c r="G259" s="1186"/>
      <c r="H259" s="1186"/>
      <c r="I259" s="1186"/>
      <c r="J259" s="1186"/>
      <c r="K259" s="1186"/>
      <c r="L259" s="1186"/>
      <c r="M259" s="1186"/>
      <c r="N259" s="1186"/>
      <c r="O259" s="1293"/>
      <c r="P259" s="1296"/>
      <c r="Q259" s="1278"/>
      <c r="R259" s="1280"/>
      <c r="S259" s="1267"/>
      <c r="T259" s="1208"/>
      <c r="U259" s="1250"/>
      <c r="V259" s="1262"/>
    </row>
    <row r="260" spans="1:22">
      <c r="A260" s="1177" t="s">
        <v>1396</v>
      </c>
      <c r="B260" s="1178" t="s">
        <v>1814</v>
      </c>
      <c r="C260" s="1186"/>
      <c r="D260" s="1186"/>
      <c r="E260" s="1191"/>
      <c r="F260" s="1186"/>
      <c r="G260" s="1186"/>
      <c r="H260" s="1186"/>
      <c r="I260" s="1186"/>
      <c r="J260" s="1186"/>
      <c r="K260" s="1194"/>
      <c r="L260" s="1189"/>
      <c r="M260" s="1190"/>
      <c r="N260" s="1190"/>
      <c r="O260" s="1293"/>
      <c r="P260" s="1296"/>
      <c r="Q260" s="1278"/>
      <c r="R260" s="1280"/>
      <c r="S260" s="1268"/>
      <c r="T260" s="1208"/>
      <c r="U260" s="1250"/>
      <c r="V260" s="1262"/>
    </row>
    <row r="261" spans="1:22">
      <c r="A261" s="1181"/>
      <c r="B261" s="1181"/>
      <c r="C261" s="1181"/>
      <c r="D261" s="1181"/>
      <c r="E261" s="1181"/>
      <c r="F261" s="1181"/>
      <c r="G261" s="1181"/>
      <c r="H261" s="1181"/>
      <c r="I261" s="1181"/>
      <c r="J261" s="1181"/>
      <c r="K261" s="1181"/>
      <c r="L261" s="1182"/>
      <c r="M261" s="1182"/>
      <c r="N261" s="1183"/>
      <c r="O261" s="1293"/>
      <c r="P261" s="1296"/>
      <c r="Q261" s="1278"/>
      <c r="R261" s="1280"/>
      <c r="S261" s="1267"/>
      <c r="T261" s="1208"/>
      <c r="U261" s="1250"/>
      <c r="V261" s="1262"/>
    </row>
    <row r="262" spans="1:22" ht="32.25" customHeight="1">
      <c r="A262" s="1186"/>
      <c r="B262" s="1214" t="s">
        <v>303</v>
      </c>
      <c r="C262" s="1551" t="s">
        <v>5</v>
      </c>
      <c r="D262" s="1551"/>
      <c r="E262" s="1551"/>
      <c r="F262" s="1551"/>
      <c r="G262" s="1551"/>
      <c r="H262" s="1551"/>
      <c r="I262" s="1551"/>
      <c r="J262" s="1184"/>
      <c r="K262" s="1174"/>
      <c r="L262" s="1186">
        <f>IF(K262&lt;&gt;"", M262, 0)</f>
        <v>0</v>
      </c>
      <c r="M262" s="1183">
        <v>-15</v>
      </c>
      <c r="N262" s="1183"/>
      <c r="O262" s="1295"/>
      <c r="P262" s="1296">
        <f>IF(O262&lt;&gt;"", M262, 0)</f>
        <v>0</v>
      </c>
      <c r="Q262" s="1273"/>
      <c r="R262" s="1280">
        <f>IF(Q262&lt;&gt;"", M262, 0)</f>
        <v>0</v>
      </c>
      <c r="S262" s="1246"/>
      <c r="T262" s="1208">
        <f>IF(S262&lt;&gt;"", M262, 0)</f>
        <v>0</v>
      </c>
      <c r="U262" s="1251"/>
      <c r="V262" s="1262">
        <f>IF(U262&lt;&gt;"",M262, 0)</f>
        <v>0</v>
      </c>
    </row>
    <row r="263" spans="1:22">
      <c r="A263" s="1181"/>
      <c r="B263" s="1181"/>
      <c r="C263" s="1181"/>
      <c r="D263" s="1181"/>
      <c r="E263" s="1181"/>
      <c r="F263" s="1181"/>
      <c r="G263" s="1181"/>
      <c r="H263" s="1181"/>
      <c r="I263" s="1181"/>
      <c r="J263" s="1181"/>
      <c r="K263" s="1181"/>
      <c r="L263" s="1182"/>
      <c r="M263" s="1182"/>
      <c r="N263" s="1183"/>
      <c r="O263" s="1293"/>
      <c r="P263" s="1296"/>
      <c r="Q263" s="1278"/>
      <c r="R263" s="1280"/>
      <c r="S263" s="1268"/>
      <c r="T263" s="1208"/>
      <c r="U263" s="1250"/>
      <c r="V263" s="1262"/>
    </row>
    <row r="264" spans="1:22" ht="45.75" customHeight="1">
      <c r="A264" s="1186"/>
      <c r="B264" s="1214" t="s">
        <v>304</v>
      </c>
      <c r="C264" s="1551" t="s">
        <v>1841</v>
      </c>
      <c r="D264" s="1551"/>
      <c r="E264" s="1551"/>
      <c r="F264" s="1551"/>
      <c r="G264" s="1551"/>
      <c r="H264" s="1551"/>
      <c r="I264" s="1551"/>
      <c r="J264" s="1184"/>
      <c r="K264" s="1174"/>
      <c r="L264" s="1186">
        <f>IF(K264&lt;&gt;"", M264, 0)</f>
        <v>0</v>
      </c>
      <c r="M264" s="1183">
        <v>-15</v>
      </c>
      <c r="N264" s="1183"/>
      <c r="O264" s="1295"/>
      <c r="P264" s="1296">
        <f>IF(O264&lt;&gt;"", M264, 0)</f>
        <v>0</v>
      </c>
      <c r="Q264" s="1273"/>
      <c r="R264" s="1280">
        <f>IF(Q264&lt;&gt;"", M264, 0)</f>
        <v>0</v>
      </c>
      <c r="S264" s="1246"/>
      <c r="T264" s="1208">
        <f>IF(S264&lt;&gt;"", M264, 0)</f>
        <v>0</v>
      </c>
      <c r="U264" s="1251"/>
      <c r="V264" s="1262">
        <f>IF(U264&lt;&gt;"",M264, 0)</f>
        <v>0</v>
      </c>
    </row>
    <row r="265" spans="1:22">
      <c r="A265" s="1181"/>
      <c r="B265" s="1181"/>
      <c r="C265" s="1181"/>
      <c r="D265" s="1181"/>
      <c r="E265" s="1181"/>
      <c r="F265" s="1181"/>
      <c r="G265" s="1181"/>
      <c r="H265" s="1181"/>
      <c r="I265" s="1181"/>
      <c r="J265" s="1181"/>
      <c r="K265" s="1181"/>
      <c r="L265" s="1182"/>
      <c r="M265" s="1182"/>
      <c r="N265" s="1183"/>
      <c r="O265" s="1293"/>
      <c r="P265" s="1296"/>
      <c r="Q265" s="1278"/>
      <c r="R265" s="1280"/>
      <c r="S265" s="1268"/>
      <c r="T265" s="1208"/>
      <c r="U265" s="1250"/>
      <c r="V265" s="1262"/>
    </row>
    <row r="266" spans="1:22" ht="12.75" customHeight="1">
      <c r="A266" s="1186"/>
      <c r="B266" s="1186" t="s">
        <v>229</v>
      </c>
      <c r="C266" s="1551" t="s">
        <v>1334</v>
      </c>
      <c r="D266" s="1551"/>
      <c r="E266" s="1551"/>
      <c r="F266" s="1551"/>
      <c r="G266" s="1551"/>
      <c r="H266" s="1551"/>
      <c r="I266" s="1551"/>
      <c r="J266" s="1184"/>
      <c r="K266" s="1174"/>
      <c r="L266" s="1186">
        <f>IF(K266&lt;&gt;"", M266, 0)</f>
        <v>0</v>
      </c>
      <c r="M266" s="1183">
        <v>-4</v>
      </c>
      <c r="N266" s="1183"/>
      <c r="O266" s="1295"/>
      <c r="P266" s="1296">
        <f>IF(O266&lt;&gt;"", M266, 0)</f>
        <v>0</v>
      </c>
      <c r="Q266" s="1273"/>
      <c r="R266" s="1280">
        <f>IF(Q266&lt;&gt;"", M266, 0)</f>
        <v>0</v>
      </c>
      <c r="S266" s="1246"/>
      <c r="T266" s="1208">
        <f>IF(S266&lt;&gt;"", M266, 0)</f>
        <v>0</v>
      </c>
      <c r="U266" s="1251"/>
      <c r="V266" s="1262">
        <f>IF(U266&lt;&gt;"",M266, 0)</f>
        <v>0</v>
      </c>
    </row>
    <row r="267" spans="1:22" ht="21.75" customHeight="1">
      <c r="A267" s="1186"/>
      <c r="B267" s="1186"/>
      <c r="C267" s="1186"/>
      <c r="D267" s="1551" t="s">
        <v>2109</v>
      </c>
      <c r="E267" s="1551"/>
      <c r="F267" s="1551"/>
      <c r="G267" s="1551"/>
      <c r="H267" s="1551"/>
      <c r="I267" s="1551"/>
      <c r="J267" s="1551"/>
      <c r="K267" s="1194"/>
      <c r="L267" s="1189"/>
      <c r="M267" s="1190"/>
      <c r="N267" s="1190"/>
      <c r="O267" s="1293"/>
      <c r="P267" s="1296"/>
      <c r="Q267" s="1278"/>
      <c r="R267" s="1280"/>
      <c r="S267" s="1268"/>
      <c r="T267" s="1208"/>
      <c r="U267" s="1250"/>
      <c r="V267" s="1262"/>
    </row>
    <row r="268" spans="1:22">
      <c r="A268" s="1181"/>
      <c r="B268" s="1181"/>
      <c r="C268" s="1181"/>
      <c r="D268" s="1181"/>
      <c r="E268" s="1181"/>
      <c r="F268" s="1181"/>
      <c r="G268" s="1181"/>
      <c r="H268" s="1181"/>
      <c r="I268" s="1181"/>
      <c r="J268" s="1181"/>
      <c r="K268" s="1181"/>
      <c r="L268" s="1182"/>
      <c r="M268" s="1182"/>
      <c r="N268" s="1183"/>
      <c r="O268" s="1293"/>
      <c r="P268" s="1296"/>
      <c r="Q268" s="1278"/>
      <c r="R268" s="1280"/>
      <c r="S268" s="1267"/>
      <c r="T268" s="1208"/>
      <c r="U268" s="1250"/>
      <c r="V268" s="1262"/>
    </row>
    <row r="269" spans="1:22">
      <c r="A269" s="1201"/>
      <c r="B269" s="1201" t="s">
        <v>230</v>
      </c>
      <c r="C269" s="1201" t="s">
        <v>2110</v>
      </c>
      <c r="D269" s="1201"/>
      <c r="E269" s="1201"/>
      <c r="F269" s="1201"/>
      <c r="G269" s="1201"/>
      <c r="H269" s="1201"/>
      <c r="I269" s="1201"/>
      <c r="J269" s="1201"/>
      <c r="K269" s="1174"/>
      <c r="L269" s="1220">
        <f>IF(K269&lt;&gt;"", M269, 0)</f>
        <v>0</v>
      </c>
      <c r="M269" s="1205">
        <v>-5</v>
      </c>
      <c r="N269" s="1183"/>
      <c r="O269" s="1295"/>
      <c r="P269" s="1296">
        <f>IF(O269&lt;&gt;"", M269, 0)</f>
        <v>0</v>
      </c>
      <c r="Q269" s="1273"/>
      <c r="R269" s="1280">
        <f>IF(Q269&lt;&gt;"", M269, 0)</f>
        <v>0</v>
      </c>
      <c r="S269" s="1246"/>
      <c r="T269" s="1208">
        <f>IF(S269&lt;&gt;"", M269, 0)</f>
        <v>0</v>
      </c>
      <c r="U269" s="1251"/>
      <c r="V269" s="1262">
        <f>IF(U269&lt;&gt;"",M269, 0)</f>
        <v>0</v>
      </c>
    </row>
    <row r="270" spans="1:22" ht="14" thickBot="1">
      <c r="A270" s="1181"/>
      <c r="B270" s="1181"/>
      <c r="C270" s="1181"/>
      <c r="D270" s="1181"/>
      <c r="E270" s="1181"/>
      <c r="F270" s="1181"/>
      <c r="G270" s="1181"/>
      <c r="H270" s="1181"/>
      <c r="I270" s="1181"/>
      <c r="J270" s="1181"/>
      <c r="K270" s="1236"/>
      <c r="L270" s="1182"/>
      <c r="M270" s="1182"/>
      <c r="N270" s="1183"/>
      <c r="O270" s="1300"/>
      <c r="P270" s="1301"/>
      <c r="Q270" s="1284"/>
      <c r="R270" s="1285"/>
      <c r="S270" s="1272"/>
      <c r="T270" s="1245"/>
      <c r="U270" s="1255"/>
      <c r="V270" s="1264"/>
    </row>
    <row r="271" spans="1:22" ht="14" thickBot="1">
      <c r="A271" s="1161"/>
      <c r="B271" s="1161"/>
      <c r="C271" s="1161"/>
      <c r="D271" s="1161"/>
      <c r="E271" s="1161"/>
      <c r="F271" s="1161"/>
      <c r="G271" s="1161"/>
      <c r="H271" s="1161"/>
      <c r="I271" s="1161"/>
      <c r="J271" s="1161"/>
      <c r="K271" s="1215" t="s">
        <v>732</v>
      </c>
      <c r="L271" s="1178">
        <f>SUM(L13:L174)+K189+K202+SUM(L208:L269)</f>
        <v>0</v>
      </c>
      <c r="M271" s="1161"/>
      <c r="N271" s="1161"/>
      <c r="O271" s="1300"/>
      <c r="P271" s="1301">
        <f>SUM(P19:P270)</f>
        <v>0</v>
      </c>
      <c r="Q271" s="1284"/>
      <c r="R271" s="1285">
        <f>SUM(R19:R270)</f>
        <v>0</v>
      </c>
      <c r="S271" s="1272">
        <f>T271</f>
        <v>0</v>
      </c>
      <c r="T271" s="1245">
        <f>SUM(T19:T270)</f>
        <v>0</v>
      </c>
      <c r="U271" s="1216">
        <f>V271</f>
        <v>0</v>
      </c>
      <c r="V271" s="1217">
        <f>SUM(V19:V270)</f>
        <v>0</v>
      </c>
    </row>
    <row r="272" spans="1:22">
      <c r="P272" s="1218" t="s">
        <v>545</v>
      </c>
      <c r="Q272" s="1218"/>
      <c r="R272" s="1218" t="s">
        <v>485</v>
      </c>
      <c r="S272" s="1218"/>
      <c r="T272" s="1218" t="s">
        <v>546</v>
      </c>
    </row>
    <row r="273" spans="16:20">
      <c r="P273" s="1218" t="s">
        <v>487</v>
      </c>
      <c r="Q273" s="1218"/>
      <c r="R273" s="1218" t="s">
        <v>487</v>
      </c>
      <c r="S273" s="1218"/>
      <c r="T273" s="1218" t="s">
        <v>488</v>
      </c>
    </row>
    <row r="278" spans="16:20">
      <c r="T278" s="1219"/>
    </row>
  </sheetData>
  <mergeCells count="40">
    <mergeCell ref="L186:L187"/>
    <mergeCell ref="C114:J114"/>
    <mergeCell ref="B141:M141"/>
    <mergeCell ref="E145:J145"/>
    <mergeCell ref="D182:J182"/>
    <mergeCell ref="E150:J150"/>
    <mergeCell ref="C116:J116"/>
    <mergeCell ref="C115:K115"/>
    <mergeCell ref="D192:K192"/>
    <mergeCell ref="C238:K238"/>
    <mergeCell ref="C123:J123"/>
    <mergeCell ref="C134:J134"/>
    <mergeCell ref="K186:K187"/>
    <mergeCell ref="C266:I266"/>
    <mergeCell ref="D267:J267"/>
    <mergeCell ref="C262:I262"/>
    <mergeCell ref="J186:J187"/>
    <mergeCell ref="E199:F199"/>
    <mergeCell ref="E198:F198"/>
    <mergeCell ref="D234:J234"/>
    <mergeCell ref="E247:I247"/>
    <mergeCell ref="E188:F188"/>
    <mergeCell ref="C264:I264"/>
    <mergeCell ref="D226:J226"/>
    <mergeCell ref="D204:J204"/>
    <mergeCell ref="E195:F195"/>
    <mergeCell ref="E197:F197"/>
    <mergeCell ref="E189:J189"/>
    <mergeCell ref="C244:J244"/>
    <mergeCell ref="B3:M3"/>
    <mergeCell ref="B11:U11"/>
    <mergeCell ref="C17:J17"/>
    <mergeCell ref="C23:J23"/>
    <mergeCell ref="D100:F101"/>
    <mergeCell ref="D32:H32"/>
    <mergeCell ref="C34:J34"/>
    <mergeCell ref="C42:J42"/>
    <mergeCell ref="C95:M96"/>
    <mergeCell ref="C44:M44"/>
    <mergeCell ref="C48:J48"/>
  </mergeCells>
  <phoneticPr fontId="51" type="noConversion"/>
  <dataValidations count="2">
    <dataValidation type="list" allowBlank="1" showInputMessage="1" showErrorMessage="1" sqref="S269 K269 U269 O269 Q269 U266 S266 O266 K266 Q266 K237 O101:O113 Q101:Q113 U101:U113 S101:S113 K105 O85:O90 Q85:Q90 S85:S90 K87 K85 Q78:Q79 U78:U79 S78:S79 O79 U85:U90 G98:G100 K89 K102:K103 U145 S145 Q145 O145 U139 U137 S139 S137 Q139 Q137 O139 O137 U125:U129 K111 K135 K137 K139 K145 K125:K127 K155 O117 Q117 O119 Q119 O121 Q121 O125:O128 Q125:Q128 O132 Q132 O134:O135 Q134:Q135 O149:O155 Q149:Q155 O157:O158 Q157:Q158 U117 U119:U121 U132 U134:U135 U149:U155 U157:U158 S117 S119 S121 S125:S128 S132 S134:S135 S149:S155 S157:S158 K157 S212 Q172:Q174 U172:U174 S172:S174 Q219:Q222 K230:K232 K150 K212 K208 K172:K174 O172:O174 O237:O238 O230:O232 K219:K222 O212 O208 S208 S237:S238 S230:S232 O219:O222 U237:U238 U230:U232 S219:S222 U212 U208 Q237:Q238 Q230:Q232 U219:U222 Q212 Q208 U262 Q262 U257 Q257 U253 Q253 U249 Q249 K249 K264 K262 K257 K253 K247 O264 O247 S264 S247 U264 U247 Q264 Q247 O249 S249 O253 S253 O257 S257 O262 S262 O73:O74 Q73:Q74 U73:U74 S73:S74 K50:K51 Q55:Q56 U55:U56 S55:S56 O50:O52 I5:I8 I30:I33 K38:K40 K28 O19:O21 Q19:Q21 Q23 S25:S26 O28 Q28 O38:O40 Q38:Q40 O56 U23 U19:U21 S23 U28 U38:U40 Q50:Q52 S19:S21 S28 S38:S40 U50:U52 S50:S52 K19:K21 O23 K25:K26 O25:O26 Q25:Q26 U25:U26 S68:S69 S62:S63 U68:U69 U62:U63 Q68:Q69 O68:O69 Q62:Q63 O62:O63 K68:K69 K63 K73:K74" xr:uid="{00000000-0002-0000-1300-000000000000}">
      <formula1>$K$4:$K$5</formula1>
    </dataValidation>
    <dataValidation type="list" allowBlank="1" showInputMessage="1" showErrorMessage="1" sqref="Q118 Q122 O120 O122 O118 U118 Q120 U122" xr:uid="{00000000-0002-0000-1300-000001000000}">
      <formula1>$K$4:$K$4</formula1>
    </dataValidation>
  </dataValidations>
  <pageMargins left="0.34" right="0.25" top="0.75" bottom="0.75" header="0.3" footer="0.3"/>
  <pageSetup scale="98" orientation="portrait" r:id="rId1"/>
  <headerFooter alignWithMargins="0"/>
  <colBreaks count="1" manualBreakCount="1">
    <brk id="21" max="264" man="1"/>
  </colBreaks>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pageSetUpPr fitToPage="1"/>
  </sheetPr>
  <dimension ref="A1:L45"/>
  <sheetViews>
    <sheetView zoomScaleNormal="100" workbookViewId="0">
      <selection activeCell="L5" sqref="L5"/>
    </sheetView>
  </sheetViews>
  <sheetFormatPr baseColWidth="10" defaultColWidth="9.1640625" defaultRowHeight="13"/>
  <cols>
    <col min="1" max="1" width="3.6640625" style="190" customWidth="1"/>
    <col min="2" max="2" width="5.6640625" style="190" customWidth="1"/>
    <col min="3" max="3" width="1" style="190" customWidth="1"/>
    <col min="4" max="7" width="9.1640625" style="190"/>
    <col min="8" max="8" width="9.5" style="190" customWidth="1"/>
    <col min="9" max="9" width="10.5" style="190" bestFit="1" customWidth="1"/>
    <col min="10" max="10" width="12.1640625" style="190" customWidth="1"/>
    <col min="11" max="11" width="5.5" style="190" customWidth="1"/>
    <col min="12" max="12" width="3.6640625" style="441" customWidth="1"/>
    <col min="13" max="16384" width="9.1640625" style="190"/>
  </cols>
  <sheetData>
    <row r="1" spans="1:12" ht="14" thickBot="1">
      <c r="A1" s="381" t="s">
        <v>1596</v>
      </c>
      <c r="I1" s="879">
        <f>+Name</f>
        <v>0</v>
      </c>
      <c r="J1" s="374" t="e">
        <f>Cover!$H$6</f>
        <v>#N/A</v>
      </c>
    </row>
    <row r="2" spans="1:12" ht="15" thickTop="1" thickBot="1">
      <c r="B2" s="1573" t="s">
        <v>17</v>
      </c>
      <c r="C2" s="1574"/>
      <c r="D2" s="1574"/>
      <c r="E2" s="1574"/>
      <c r="F2" s="1574"/>
      <c r="G2" s="1574"/>
      <c r="H2" s="1574"/>
      <c r="I2" s="1574"/>
      <c r="J2" s="1574"/>
      <c r="K2" s="1575"/>
    </row>
    <row r="3" spans="1:12" ht="14" thickTop="1">
      <c r="K3" s="881"/>
    </row>
    <row r="4" spans="1:12">
      <c r="B4" s="609">
        <v>1</v>
      </c>
      <c r="C4" s="365"/>
      <c r="D4" s="1577" t="s">
        <v>1173</v>
      </c>
      <c r="E4" s="1577"/>
      <c r="F4" s="1577"/>
      <c r="G4" s="1577"/>
      <c r="H4" s="1577"/>
      <c r="I4" s="1577"/>
      <c r="J4" s="1577"/>
      <c r="K4" s="882" t="str">
        <f t="shared" ref="K4:K22" si="0">IF(L4=0,"No","Yes")</f>
        <v>No</v>
      </c>
      <c r="L4" s="441">
        <f>IF('Primary Input'!E6&lt;&gt;"",1,0)</f>
        <v>0</v>
      </c>
    </row>
    <row r="5" spans="1:12">
      <c r="B5" s="609">
        <f>+B4+1</f>
        <v>2</v>
      </c>
      <c r="C5" s="365"/>
      <c r="D5" s="1577" t="s">
        <v>1174</v>
      </c>
      <c r="E5" s="1577"/>
      <c r="F5" s="1577"/>
      <c r="G5" s="1577"/>
      <c r="H5" s="1577"/>
      <c r="I5" s="1577"/>
      <c r="J5" s="1577"/>
      <c r="K5" s="882" t="str">
        <f t="shared" si="0"/>
        <v>No</v>
      </c>
      <c r="L5" s="441">
        <f>IF(parish&lt;&gt;"",1,0)</f>
        <v>0</v>
      </c>
    </row>
    <row r="6" spans="1:12">
      <c r="A6" s="441">
        <f>IF(census="No",0,1)</f>
        <v>1</v>
      </c>
      <c r="B6" s="609">
        <f t="shared" ref="B6:B23" si="1">+B5+1</f>
        <v>3</v>
      </c>
      <c r="C6" s="365"/>
      <c r="D6" s="1577" t="s">
        <v>1175</v>
      </c>
      <c r="E6" s="1577"/>
      <c r="F6" s="1577"/>
      <c r="G6" s="1577"/>
      <c r="H6" s="1577"/>
      <c r="I6" s="1577"/>
      <c r="J6" s="1577"/>
      <c r="K6" s="882" t="str">
        <f t="shared" si="0"/>
        <v>No</v>
      </c>
      <c r="L6" s="441">
        <f>IF('Secondary Input'!E10&lt;&gt;"",1,0)</f>
        <v>0</v>
      </c>
    </row>
    <row r="7" spans="1:12">
      <c r="A7" s="441">
        <v>1000000</v>
      </c>
      <c r="B7" s="609">
        <f t="shared" si="1"/>
        <v>4</v>
      </c>
      <c r="C7" s="365"/>
      <c r="D7" s="1577" t="s">
        <v>2016</v>
      </c>
      <c r="E7" s="1577"/>
      <c r="F7" s="1577"/>
      <c r="G7" s="1577"/>
      <c r="H7" s="1577"/>
      <c r="I7" s="1577"/>
      <c r="J7" s="1577"/>
      <c r="K7" s="880" t="str">
        <f t="shared" si="0"/>
        <v>Yes</v>
      </c>
      <c r="L7" s="441">
        <f>IF(credits&lt;=A7,1,0)</f>
        <v>1</v>
      </c>
    </row>
    <row r="8" spans="1:12">
      <c r="B8" s="609">
        <f t="shared" si="1"/>
        <v>5</v>
      </c>
      <c r="C8" s="365"/>
      <c r="D8" s="1577" t="s">
        <v>1176</v>
      </c>
      <c r="E8" s="1577"/>
      <c r="F8" s="1577"/>
      <c r="G8" s="1577"/>
      <c r="H8" s="1577"/>
      <c r="I8" s="1577"/>
      <c r="J8" s="1577"/>
      <c r="K8" s="882" t="str">
        <f t="shared" si="0"/>
        <v>No</v>
      </c>
      <c r="L8" s="441">
        <f>IF(setaside&lt;&gt;"",1,0)</f>
        <v>0</v>
      </c>
    </row>
    <row r="9" spans="1:12">
      <c r="B9" s="609">
        <f t="shared" si="1"/>
        <v>6</v>
      </c>
      <c r="C9" s="365"/>
      <c r="D9" s="190" t="s">
        <v>1177</v>
      </c>
      <c r="J9" s="402">
        <f>+tdcunit</f>
        <v>0</v>
      </c>
      <c r="K9" s="882" t="str">
        <f t="shared" si="0"/>
        <v>Yes</v>
      </c>
      <c r="L9" s="441">
        <f>IF('Building Information'!E54&gt;'Building Information'!E33,0,1)</f>
        <v>1</v>
      </c>
    </row>
    <row r="10" spans="1:12">
      <c r="B10" s="609">
        <f t="shared" si="1"/>
        <v>7</v>
      </c>
      <c r="C10" s="399"/>
      <c r="D10" s="190" t="s">
        <v>1017</v>
      </c>
      <c r="J10" s="402">
        <f>+'Pro Forma'!E20</f>
        <v>0</v>
      </c>
      <c r="K10" s="882" t="str">
        <f t="shared" si="0"/>
        <v>No</v>
      </c>
      <c r="L10" s="441">
        <f>IF(J10&gt;=3600,1,0)</f>
        <v>0</v>
      </c>
    </row>
    <row r="11" spans="1:12">
      <c r="B11" s="609">
        <f t="shared" si="1"/>
        <v>8</v>
      </c>
      <c r="C11" s="399"/>
      <c r="D11" s="190" t="s">
        <v>1178</v>
      </c>
      <c r="J11" s="400"/>
      <c r="K11" s="882" t="e">
        <f t="shared" si="0"/>
        <v>#N/A</v>
      </c>
      <c r="L11" s="441" t="e">
        <f>IF('Rental Income'!AC29=1,1,0)</f>
        <v>#N/A</v>
      </c>
    </row>
    <row r="12" spans="1:12">
      <c r="B12" s="609">
        <f t="shared" si="1"/>
        <v>9</v>
      </c>
      <c r="C12" s="399"/>
      <c r="D12" s="190" t="s">
        <v>200</v>
      </c>
      <c r="J12" s="747">
        <f>IF('Rental Income'!E10=0,0,1-('Rental Income'!I22/'Rental Income'!E10))</f>
        <v>0</v>
      </c>
      <c r="K12" s="882" t="str">
        <f t="shared" si="0"/>
        <v>Yes</v>
      </c>
      <c r="L12" s="441">
        <f>IF('Rental Income'!I22&gt;0,(IF(J12&lt;=0.4,1,0)),1)</f>
        <v>1</v>
      </c>
    </row>
    <row r="13" spans="1:12">
      <c r="B13" s="609">
        <f t="shared" si="1"/>
        <v>10</v>
      </c>
      <c r="C13" s="399"/>
      <c r="D13" s="1576" t="s">
        <v>201</v>
      </c>
      <c r="E13" s="1576"/>
      <c r="F13" s="1576"/>
      <c r="G13" s="1576"/>
      <c r="H13" s="1576"/>
      <c r="I13" s="1576"/>
      <c r="J13" s="1576"/>
      <c r="K13" s="882" t="e">
        <f t="shared" si="0"/>
        <v>#N/A</v>
      </c>
      <c r="L13" s="441" t="e">
        <f>IF('Rental Income'!L33&lt;='Rental Income'!L44,1,0)</f>
        <v>#N/A</v>
      </c>
    </row>
    <row r="14" spans="1:12">
      <c r="B14" s="609">
        <f t="shared" si="1"/>
        <v>11</v>
      </c>
      <c r="C14" s="399"/>
      <c r="D14" s="355" t="s">
        <v>1543</v>
      </c>
      <c r="E14" s="355"/>
      <c r="F14" s="355"/>
      <c r="G14" s="355"/>
      <c r="H14" s="355"/>
      <c r="I14" s="746">
        <f>+'Primary Input'!E21/(1+'Sources&amp;Uses'!F50)</f>
        <v>0</v>
      </c>
      <c r="J14" s="355">
        <f>+'Rental Income'!K10</f>
        <v>0</v>
      </c>
      <c r="K14" s="882" t="str">
        <f t="shared" si="0"/>
        <v>Yes</v>
      </c>
      <c r="L14" s="668">
        <f>IF(J14&gt;=I14,1,0)</f>
        <v>1</v>
      </c>
    </row>
    <row r="15" spans="1:12">
      <c r="B15" s="609">
        <f t="shared" si="1"/>
        <v>12</v>
      </c>
      <c r="C15" s="399"/>
      <c r="D15" s="190" t="s">
        <v>1544</v>
      </c>
      <c r="I15" s="350">
        <v>1.1499999999999999</v>
      </c>
      <c r="J15" s="625">
        <f>MIN('Pro Forma'!D42:AG42)</f>
        <v>0</v>
      </c>
      <c r="K15" s="882" t="str">
        <f t="shared" si="0"/>
        <v>No</v>
      </c>
      <c r="L15" s="668">
        <f>IF(J15&gt;=I15,1,0)</f>
        <v>0</v>
      </c>
    </row>
    <row r="16" spans="1:12">
      <c r="B16" s="609">
        <f t="shared" si="1"/>
        <v>13</v>
      </c>
      <c r="C16" s="399"/>
      <c r="D16" s="1576" t="s">
        <v>431</v>
      </c>
      <c r="E16" s="1576"/>
      <c r="F16" s="1576"/>
      <c r="G16" s="1576"/>
      <c r="H16" s="1576"/>
      <c r="I16" s="1576"/>
      <c r="J16" s="1576"/>
      <c r="K16" s="882" t="str">
        <f t="shared" si="0"/>
        <v>Yes</v>
      </c>
      <c r="L16" s="441">
        <f>IF(credits&lt;1,1,IF('Basis Calculation'!C67&gt;credits,1,0))</f>
        <v>1</v>
      </c>
    </row>
    <row r="17" spans="1:12">
      <c r="B17" s="609">
        <f t="shared" si="1"/>
        <v>14</v>
      </c>
      <c r="C17" s="399"/>
      <c r="D17" s="190" t="s">
        <v>432</v>
      </c>
      <c r="I17" s="669"/>
      <c r="J17" s="669"/>
      <c r="K17" s="882" t="str">
        <f t="shared" si="0"/>
        <v>No</v>
      </c>
      <c r="L17" s="441">
        <f>IF('Rehab Construction'!F192&lt;'Rehab Construction'!F191,1,0)</f>
        <v>0</v>
      </c>
    </row>
    <row r="18" spans="1:12">
      <c r="B18" s="609">
        <f t="shared" si="1"/>
        <v>15</v>
      </c>
      <c r="C18" s="399"/>
      <c r="D18" s="190" t="s">
        <v>433</v>
      </c>
      <c r="I18" s="669"/>
      <c r="J18" s="669"/>
      <c r="K18" s="882" t="str">
        <f t="shared" si="0"/>
        <v>No</v>
      </c>
      <c r="L18" s="441">
        <f>IF('Rehab Construction'!F190&lt;'Rehab Construction'!F189,1,0)</f>
        <v>0</v>
      </c>
    </row>
    <row r="19" spans="1:12">
      <c r="B19" s="609">
        <f t="shared" si="1"/>
        <v>16</v>
      </c>
      <c r="C19" s="399"/>
      <c r="D19" s="190" t="s">
        <v>434</v>
      </c>
      <c r="I19" s="669"/>
      <c r="J19" s="669"/>
      <c r="K19" s="880" t="str">
        <f t="shared" si="0"/>
        <v>No</v>
      </c>
      <c r="L19" s="441">
        <f>IF('Rehab Construction'!F188&lt;'Rehab Construction'!F187,1,0)</f>
        <v>0</v>
      </c>
    </row>
    <row r="20" spans="1:12">
      <c r="B20" s="609">
        <f t="shared" si="1"/>
        <v>17</v>
      </c>
      <c r="C20" s="399"/>
      <c r="D20" s="190" t="s">
        <v>435</v>
      </c>
      <c r="I20" s="669"/>
      <c r="J20" s="669"/>
      <c r="K20" s="882" t="str">
        <f t="shared" si="0"/>
        <v>No</v>
      </c>
      <c r="L20" s="441">
        <f>IF('Rehab Construction'!F186&lt;'Rehab Construction'!F185,1,0)</f>
        <v>0</v>
      </c>
    </row>
    <row r="21" spans="1:12">
      <c r="B21" s="609">
        <f t="shared" si="1"/>
        <v>18</v>
      </c>
      <c r="D21" s="190" t="s">
        <v>436</v>
      </c>
      <c r="K21" s="882" t="str">
        <f t="shared" si="0"/>
        <v>No</v>
      </c>
      <c r="L21" s="441">
        <f>IF('Reserve 20 Yr Schedule'!Y16-(250*'Primary Input'!J21)&gt;0,1,0)</f>
        <v>0</v>
      </c>
    </row>
    <row r="22" spans="1:12">
      <c r="B22" s="609">
        <f t="shared" si="1"/>
        <v>19</v>
      </c>
      <c r="D22" s="190" t="s">
        <v>437</v>
      </c>
      <c r="K22" s="880" t="str">
        <f t="shared" si="0"/>
        <v>Yes</v>
      </c>
      <c r="L22" s="441">
        <f>IF('Sources&amp;Uses'!F22&lt;1,1,0)</f>
        <v>1</v>
      </c>
    </row>
    <row r="23" spans="1:12">
      <c r="A23" s="441"/>
      <c r="B23" s="609">
        <f t="shared" si="1"/>
        <v>20</v>
      </c>
      <c r="D23" s="190" t="s">
        <v>235</v>
      </c>
      <c r="J23" s="876">
        <f>IF(credits=0,0,+Syndication!J186/credits)</f>
        <v>0</v>
      </c>
      <c r="K23" s="880" t="str">
        <f>IF(L23=0,"No","Yes")</f>
        <v>No</v>
      </c>
      <c r="L23" s="441">
        <f>IF(J23&gt;=8,1,0)</f>
        <v>0</v>
      </c>
    </row>
    <row r="24" spans="1:12">
      <c r="A24" s="441">
        <f>points</f>
        <v>0</v>
      </c>
      <c r="B24" s="609">
        <f>+B23+1</f>
        <v>21</v>
      </c>
      <c r="D24" s="190" t="s">
        <v>324</v>
      </c>
      <c r="J24" s="915">
        <f>'Selection Criteria'!L273</f>
        <v>0</v>
      </c>
      <c r="K24" s="880" t="str">
        <f>IF(L24=0,"No","Yes")</f>
        <v>No</v>
      </c>
      <c r="L24" s="441">
        <f>IF(J24&gt;=59,1,0)</f>
        <v>0</v>
      </c>
    </row>
    <row r="25" spans="1:12">
      <c r="A25" s="441"/>
      <c r="B25" s="609">
        <f>+B24+1</f>
        <v>22</v>
      </c>
      <c r="D25" s="190" t="s">
        <v>286</v>
      </c>
      <c r="I25" s="1123">
        <f>+'Sources&amp;Uses'!F43</f>
        <v>0</v>
      </c>
      <c r="J25" s="915">
        <f>+'Pro Forma Calculation'!F78/2</f>
        <v>0</v>
      </c>
      <c r="K25" s="880" t="str">
        <f>IF(L25=0,"No","Yes")</f>
        <v>No</v>
      </c>
      <c r="L25" s="441">
        <f>IF(J25&gt;=I25,0,1)</f>
        <v>0</v>
      </c>
    </row>
    <row r="26" spans="1:12">
      <c r="A26" s="441"/>
      <c r="B26" s="609"/>
      <c r="K26" s="882"/>
    </row>
    <row r="27" spans="1:12">
      <c r="A27" s="441"/>
      <c r="B27" s="878"/>
      <c r="I27" s="358" t="s">
        <v>1915</v>
      </c>
      <c r="J27" s="670" t="e">
        <f>22-SUM(L4:L26)</f>
        <v>#N/A</v>
      </c>
      <c r="K27" s="882"/>
    </row>
    <row r="28" spans="1:12">
      <c r="B28" s="609"/>
      <c r="I28" s="358"/>
      <c r="J28" s="693"/>
      <c r="K28" s="882"/>
    </row>
    <row r="29" spans="1:12">
      <c r="B29" s="609"/>
      <c r="I29" s="358"/>
      <c r="J29" s="693"/>
      <c r="K29" s="400"/>
    </row>
    <row r="30" spans="1:12" ht="16">
      <c r="B30" s="886" t="s">
        <v>662</v>
      </c>
      <c r="C30" s="441"/>
      <c r="D30" s="441"/>
      <c r="E30" s="441"/>
      <c r="F30" s="441"/>
      <c r="G30" s="441"/>
      <c r="H30" s="441"/>
      <c r="I30" s="358"/>
      <c r="J30" s="693"/>
      <c r="K30" s="400"/>
    </row>
    <row r="31" spans="1:12">
      <c r="B31" s="887" t="s">
        <v>663</v>
      </c>
      <c r="C31" s="441"/>
      <c r="D31" s="441"/>
      <c r="E31" s="441"/>
      <c r="F31" s="441"/>
      <c r="G31" s="441"/>
      <c r="H31" s="441"/>
      <c r="I31" s="358"/>
      <c r="J31" s="693"/>
      <c r="K31" s="400"/>
    </row>
    <row r="32" spans="1:12">
      <c r="B32" s="609"/>
      <c r="I32" s="358"/>
      <c r="J32" s="693"/>
      <c r="K32" s="400"/>
    </row>
    <row r="34" spans="2:11" ht="16">
      <c r="B34" s="346" t="s">
        <v>172</v>
      </c>
      <c r="D34" s="346"/>
      <c r="H34" s="346" t="s">
        <v>173</v>
      </c>
    </row>
    <row r="35" spans="2:11">
      <c r="B35" s="190" t="s">
        <v>1937</v>
      </c>
      <c r="H35" s="190" t="s">
        <v>287</v>
      </c>
    </row>
    <row r="36" spans="2:11">
      <c r="B36" s="190" t="s">
        <v>1938</v>
      </c>
      <c r="H36" s="190" t="s">
        <v>288</v>
      </c>
    </row>
    <row r="38" spans="2:11">
      <c r="D38"/>
      <c r="E38"/>
      <c r="F38"/>
      <c r="G38"/>
      <c r="H38"/>
      <c r="I38"/>
    </row>
    <row r="39" spans="2:11">
      <c r="D39"/>
      <c r="E39"/>
      <c r="F39"/>
      <c r="G39"/>
      <c r="H39"/>
      <c r="I39"/>
    </row>
    <row r="40" spans="2:11">
      <c r="D40"/>
      <c r="E40"/>
      <c r="F40"/>
      <c r="G40"/>
      <c r="H40"/>
      <c r="I40"/>
    </row>
    <row r="41" spans="2:11">
      <c r="D41"/>
      <c r="E41"/>
      <c r="F41"/>
      <c r="G41"/>
      <c r="H41"/>
      <c r="I41"/>
    </row>
    <row r="42" spans="2:11">
      <c r="D42"/>
      <c r="E42"/>
      <c r="F42"/>
      <c r="G42"/>
      <c r="H42"/>
      <c r="I42"/>
    </row>
    <row r="43" spans="2:11">
      <c r="D43"/>
      <c r="E43"/>
      <c r="F43"/>
      <c r="G43"/>
      <c r="H43"/>
      <c r="I43"/>
    </row>
    <row r="45" spans="2:11" ht="20">
      <c r="B45" s="1572" t="s">
        <v>661</v>
      </c>
      <c r="C45" s="1572"/>
      <c r="D45" s="1572"/>
      <c r="E45" s="1572"/>
      <c r="F45" s="1572"/>
      <c r="G45" s="1572"/>
      <c r="H45" s="1572"/>
      <c r="I45" s="1572"/>
      <c r="J45" s="1572"/>
      <c r="K45" s="1572"/>
    </row>
  </sheetData>
  <sheetProtection password="CCBC" sheet="1"/>
  <mergeCells count="9">
    <mergeCell ref="B45:K45"/>
    <mergeCell ref="B2:K2"/>
    <mergeCell ref="D13:J13"/>
    <mergeCell ref="D16:J16"/>
    <mergeCell ref="D8:J8"/>
    <mergeCell ref="D4:J4"/>
    <mergeCell ref="D5:J5"/>
    <mergeCell ref="D6:J6"/>
    <mergeCell ref="D7:J7"/>
  </mergeCells>
  <phoneticPr fontId="0" type="noConversion"/>
  <hyperlinks>
    <hyperlink ref="K4" location="Name" display="Name" xr:uid="{00000000-0004-0000-1400-000000000000}"/>
    <hyperlink ref="K5:K8" location="Name" display="Name" xr:uid="{00000000-0004-0000-1400-000001000000}"/>
    <hyperlink ref="K5" location="parish" display="parish" xr:uid="{00000000-0004-0000-1400-000002000000}"/>
    <hyperlink ref="K6" location="'Secondary Input'!E11" display="'Secondary Input'!E11" xr:uid="{00000000-0004-0000-1400-000003000000}"/>
    <hyperlink ref="K7" location="census" display="census" xr:uid="{00000000-0004-0000-1400-000004000000}"/>
    <hyperlink ref="K8" location="setaside" display="setaside" xr:uid="{00000000-0004-0000-1400-000005000000}"/>
    <hyperlink ref="K9" location="tdcunit" display="tdcunit" xr:uid="{00000000-0004-0000-1400-000006000000}"/>
    <hyperlink ref="K10" location="'Pro Forma'!E20" display="'Pro Forma'!E20" xr:uid="{00000000-0004-0000-1400-000007000000}"/>
    <hyperlink ref="K13" location="'Rental Income'!A1" display="'Rental Income'!A1" xr:uid="{00000000-0004-0000-1400-000008000000}"/>
    <hyperlink ref="K16" location="credits" display="credits" xr:uid="{00000000-0004-0000-1400-000009000000}"/>
    <hyperlink ref="K17" location="'Rehab Construction'!F124" display="'Rehab Construction'!F124" xr:uid="{00000000-0004-0000-1400-00000A000000}"/>
    <hyperlink ref="K18" location="'Rehab Construction'!F124" display="'Rehab Construction'!F124" xr:uid="{00000000-0004-0000-1400-00000B000000}"/>
    <hyperlink ref="K19" location="'Rehab Construction'!F168" display="'Rehab Construction'!F168" xr:uid="{00000000-0004-0000-1400-00000C000000}"/>
    <hyperlink ref="K20" location="'Rehab Construction'!F124" display="'Rehab Construction'!F124" xr:uid="{00000000-0004-0000-1400-00000D000000}"/>
    <hyperlink ref="K11" location="'Rental Income'!Print_Area" display="'Rental Income'!Print_Area" xr:uid="{00000000-0004-0000-1400-00000E000000}"/>
    <hyperlink ref="K15" location="'Rental Income'!K3" display="'Rental Income'!K3" xr:uid="{00000000-0004-0000-1400-00000F000000}"/>
    <hyperlink ref="K21" location="'Reserve 20 Yr Schedule'!A1" display="'Reserve 20 Yr Schedule'!A1" xr:uid="{00000000-0004-0000-1400-000010000000}"/>
    <hyperlink ref="K22" location="'Sources&amp;Uses'!A1" display="'Sources&amp;Uses'!A1" xr:uid="{00000000-0004-0000-1400-000011000000}"/>
    <hyperlink ref="K14" location="'Pro Forma'!A1" display="'Pro Forma'!A1" xr:uid="{00000000-0004-0000-1400-000012000000}"/>
    <hyperlink ref="K12" location="'Rental Income'!Print_Area" display="'Rental Income'!Print_Area" xr:uid="{00000000-0004-0000-1400-000013000000}"/>
    <hyperlink ref="K23" location="Syndication!A1" display="Syndication!A1" xr:uid="{00000000-0004-0000-1400-000014000000}"/>
    <hyperlink ref="K24" location="'Selection Criteria'!A1" display="'Selection Criteria'!A1" xr:uid="{00000000-0004-0000-1400-000015000000}"/>
    <hyperlink ref="K25" location="'Sources&amp;Uses'!F43" display="'Sources&amp;Uses'!F43" xr:uid="{00000000-0004-0000-1400-000016000000}"/>
  </hyperlinks>
  <printOptions horizontalCentered="1"/>
  <pageMargins left="0.75" right="0.75" top="1" bottom="1" header="0.5" footer="0.5"/>
  <pageSetup scale="80" orientation="portrait" r:id="rId1"/>
  <headerFooter alignWithMargins="0"/>
  <cellWatches>
    <cellWatch r="K22"/>
  </cellWatche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dimension ref="A1:N124"/>
  <sheetViews>
    <sheetView topLeftCell="A50" zoomScaleNormal="100" workbookViewId="0">
      <selection activeCell="L140" sqref="L140"/>
    </sheetView>
  </sheetViews>
  <sheetFormatPr baseColWidth="10" defaultColWidth="9.1640625" defaultRowHeight="15"/>
  <cols>
    <col min="1" max="1" width="3.5" style="1110" customWidth="1"/>
    <col min="2" max="2" width="3" style="1110" customWidth="1"/>
    <col min="3" max="3" width="2.83203125" style="1110" customWidth="1"/>
    <col min="4" max="4" width="4" style="1110" customWidth="1"/>
    <col min="5" max="5" width="14.6640625" style="1110" customWidth="1"/>
    <col min="6" max="6" width="2.5" style="1110" customWidth="1"/>
    <col min="7" max="7" width="2.33203125" style="1110" customWidth="1"/>
    <col min="8" max="8" width="4.5" style="1110" customWidth="1"/>
    <col min="9" max="9" width="73.6640625" style="1115" bestFit="1" customWidth="1"/>
    <col min="10" max="10" width="2" style="1110" customWidth="1"/>
    <col min="11" max="11" width="5" style="1110" customWidth="1"/>
    <col min="12" max="12" width="5.6640625" style="1110" customWidth="1"/>
    <col min="13" max="14" width="5.5" style="1110" customWidth="1"/>
    <col min="15" max="15" width="1.5" style="1110" customWidth="1"/>
    <col min="16" max="16384" width="9.1640625" style="1110"/>
  </cols>
  <sheetData>
    <row r="1" spans="1:14" ht="12" customHeight="1">
      <c r="A1" s="1057" t="s">
        <v>514</v>
      </c>
      <c r="B1" s="1058"/>
      <c r="C1" s="1129"/>
      <c r="D1" s="1058"/>
      <c r="E1" s="1058"/>
      <c r="F1" s="1058"/>
      <c r="G1" s="1058"/>
      <c r="H1" s="1058"/>
      <c r="I1" s="1059"/>
      <c r="J1" s="1058"/>
      <c r="K1" s="1058"/>
      <c r="L1" s="1060"/>
    </row>
    <row r="2" spans="1:14" s="1132" customFormat="1" ht="17.25" customHeight="1" thickBot="1">
      <c r="A2" s="1057"/>
      <c r="B2" s="1130"/>
      <c r="C2" s="1130"/>
      <c r="D2" s="1130"/>
      <c r="E2" s="1131" t="s">
        <v>671</v>
      </c>
      <c r="F2" s="1131"/>
      <c r="G2" s="1131"/>
      <c r="H2" s="1131"/>
      <c r="I2" s="1131"/>
      <c r="J2" s="1131"/>
      <c r="K2" s="1131"/>
      <c r="L2" s="1131"/>
    </row>
    <row r="3" spans="1:14" s="1061" customFormat="1" ht="42" customHeight="1" thickTop="1" thickBot="1">
      <c r="B3" s="1062"/>
      <c r="C3" s="1063"/>
      <c r="D3" s="1064"/>
      <c r="E3" s="1063"/>
      <c r="F3" s="1064"/>
      <c r="G3" s="1063"/>
      <c r="H3" s="1063"/>
      <c r="I3" s="1065" t="s">
        <v>515</v>
      </c>
      <c r="J3" s="1066"/>
      <c r="K3" s="1067" t="s">
        <v>516</v>
      </c>
      <c r="L3" s="1067" t="s">
        <v>517</v>
      </c>
      <c r="M3" s="1067" t="s">
        <v>679</v>
      </c>
      <c r="N3" s="1068" t="s">
        <v>518</v>
      </c>
    </row>
    <row r="4" spans="1:14" s="1061" customFormat="1" ht="4.5" customHeight="1" thickTop="1">
      <c r="B4" s="1069"/>
      <c r="C4" s="1070"/>
      <c r="D4" s="1071"/>
      <c r="E4" s="1070"/>
      <c r="F4" s="1071"/>
      <c r="G4" s="1070"/>
      <c r="H4" s="1070"/>
      <c r="I4" s="1072"/>
      <c r="K4" s="1073"/>
    </row>
    <row r="5" spans="1:14" ht="12" customHeight="1">
      <c r="A5" s="1058"/>
      <c r="B5" s="1069">
        <v>1</v>
      </c>
      <c r="C5" s="1069"/>
      <c r="D5" s="1074"/>
      <c r="E5" s="1069"/>
      <c r="F5" s="1070"/>
      <c r="G5" s="1069"/>
      <c r="H5" s="1075" t="s">
        <v>519</v>
      </c>
      <c r="I5" s="1076" t="s">
        <v>1589</v>
      </c>
      <c r="J5" s="1058"/>
      <c r="K5" s="1077" t="s">
        <v>134</v>
      </c>
      <c r="L5" s="1078"/>
      <c r="M5" s="1061"/>
    </row>
    <row r="6" spans="1:14" ht="12" customHeight="1">
      <c r="A6" s="1058"/>
      <c r="B6" s="1069">
        <v>2</v>
      </c>
      <c r="C6" s="1069"/>
      <c r="D6" s="1074"/>
      <c r="E6" s="1069"/>
      <c r="F6" s="1070"/>
      <c r="G6" s="1069"/>
      <c r="H6" s="1075" t="s">
        <v>519</v>
      </c>
      <c r="I6" s="1076" t="s">
        <v>1590</v>
      </c>
      <c r="J6" s="1058"/>
      <c r="K6" s="1077" t="s">
        <v>134</v>
      </c>
      <c r="L6" s="1078"/>
      <c r="M6" s="1061"/>
    </row>
    <row r="7" spans="1:14" ht="12" customHeight="1">
      <c r="A7" s="1058"/>
      <c r="B7" s="1069">
        <v>3</v>
      </c>
      <c r="C7" s="1069"/>
      <c r="D7" s="1074"/>
      <c r="E7" s="1069"/>
      <c r="F7" s="1070"/>
      <c r="G7" s="1069"/>
      <c r="H7" s="1075" t="s">
        <v>519</v>
      </c>
      <c r="I7" s="1076" t="s">
        <v>813</v>
      </c>
      <c r="J7" s="1058"/>
      <c r="K7" s="1077" t="s">
        <v>134</v>
      </c>
      <c r="L7" s="1078"/>
      <c r="M7" s="1061"/>
    </row>
    <row r="8" spans="1:14" ht="12" customHeight="1">
      <c r="A8" s="1058"/>
      <c r="B8" s="1069">
        <v>4</v>
      </c>
      <c r="C8" s="1069"/>
      <c r="D8" s="1074"/>
      <c r="E8" s="1069"/>
      <c r="F8" s="1070"/>
      <c r="G8" s="1069"/>
      <c r="H8" s="1075" t="s">
        <v>519</v>
      </c>
      <c r="I8" s="1076" t="s">
        <v>1192</v>
      </c>
      <c r="J8" s="1058"/>
      <c r="K8" s="1077" t="s">
        <v>134</v>
      </c>
      <c r="L8" s="1078"/>
      <c r="M8" s="1061"/>
    </row>
    <row r="9" spans="1:14" s="1111" customFormat="1" ht="12" customHeight="1">
      <c r="A9" s="1079"/>
      <c r="B9" s="1080"/>
      <c r="C9" s="1080"/>
      <c r="D9" s="1081" t="s">
        <v>520</v>
      </c>
      <c r="E9" s="1082" t="s">
        <v>527</v>
      </c>
      <c r="F9" s="1081"/>
      <c r="G9" s="1082"/>
      <c r="H9" s="1083"/>
      <c r="I9" s="1084"/>
      <c r="J9" s="1079"/>
      <c r="K9" s="1077"/>
      <c r="L9" s="1078"/>
      <c r="M9" s="1061"/>
    </row>
    <row r="10" spans="1:14" s="1111" customFormat="1" ht="12" customHeight="1">
      <c r="A10" s="1079"/>
      <c r="B10" s="1080"/>
      <c r="C10" s="1080"/>
      <c r="D10" s="1081" t="s">
        <v>521</v>
      </c>
      <c r="E10" s="1082" t="s">
        <v>528</v>
      </c>
      <c r="F10" s="1081"/>
      <c r="G10" s="1082"/>
      <c r="H10" s="1083"/>
      <c r="I10" s="1084"/>
      <c r="J10" s="1079"/>
      <c r="K10" s="1077"/>
      <c r="L10" s="1078"/>
      <c r="M10" s="1061"/>
    </row>
    <row r="11" spans="1:14" s="1111" customFormat="1" ht="12" customHeight="1">
      <c r="A11" s="1079"/>
      <c r="B11" s="1080">
        <v>5</v>
      </c>
      <c r="C11" s="1080"/>
      <c r="D11" s="1085"/>
      <c r="E11" s="1080"/>
      <c r="F11" s="1082"/>
      <c r="G11" s="1080"/>
      <c r="H11" s="1086" t="s">
        <v>519</v>
      </c>
      <c r="I11" s="1087" t="s">
        <v>1591</v>
      </c>
      <c r="J11" s="1079"/>
      <c r="K11" s="1077" t="s">
        <v>134</v>
      </c>
      <c r="L11" s="1078"/>
      <c r="M11" s="1061"/>
    </row>
    <row r="12" spans="1:14" s="1111" customFormat="1" ht="12" customHeight="1">
      <c r="A12" s="1079"/>
      <c r="B12" s="1080">
        <v>6</v>
      </c>
      <c r="C12" s="1080"/>
      <c r="D12" s="1085"/>
      <c r="E12" s="1080"/>
      <c r="F12" s="1082"/>
      <c r="G12" s="1080"/>
      <c r="H12" s="1086" t="s">
        <v>519</v>
      </c>
      <c r="I12" s="1087" t="s">
        <v>1592</v>
      </c>
      <c r="J12" s="1079"/>
      <c r="K12" s="1077" t="s">
        <v>134</v>
      </c>
      <c r="L12" s="1078"/>
      <c r="M12" s="1061"/>
    </row>
    <row r="13" spans="1:14" s="1111" customFormat="1" ht="12" customHeight="1">
      <c r="A13" s="1079"/>
      <c r="B13" s="1080">
        <v>7</v>
      </c>
      <c r="C13" s="1080"/>
      <c r="D13" s="1085"/>
      <c r="E13" s="1080"/>
      <c r="F13" s="1082"/>
      <c r="G13" s="1080"/>
      <c r="H13" s="1086" t="s">
        <v>519</v>
      </c>
      <c r="I13" s="1087" t="s">
        <v>522</v>
      </c>
      <c r="J13" s="1079"/>
      <c r="K13" s="1077" t="s">
        <v>134</v>
      </c>
      <c r="L13" s="1078"/>
      <c r="M13" s="1061"/>
    </row>
    <row r="14" spans="1:14" s="1111" customFormat="1" ht="12" customHeight="1">
      <c r="A14" s="1079"/>
      <c r="B14" s="1080"/>
      <c r="C14" s="1082"/>
      <c r="D14" s="1081" t="s">
        <v>520</v>
      </c>
      <c r="E14" s="1082" t="s">
        <v>529</v>
      </c>
      <c r="F14" s="1081"/>
      <c r="G14" s="1082"/>
      <c r="H14" s="1083"/>
      <c r="I14" s="1088"/>
      <c r="J14" s="1079"/>
      <c r="K14" s="1077" t="s">
        <v>134</v>
      </c>
      <c r="L14" s="1078"/>
      <c r="M14" s="1089" t="s">
        <v>134</v>
      </c>
      <c r="N14" s="1089" t="s">
        <v>134</v>
      </c>
    </row>
    <row r="15" spans="1:14" s="1111" customFormat="1" ht="12" customHeight="1">
      <c r="A15" s="1079"/>
      <c r="B15" s="1080"/>
      <c r="C15" s="1082"/>
      <c r="D15" s="1081" t="s">
        <v>521</v>
      </c>
      <c r="E15" s="1082" t="s">
        <v>523</v>
      </c>
      <c r="F15" s="1081"/>
      <c r="G15" s="1082"/>
      <c r="H15" s="1083"/>
      <c r="I15" s="1088"/>
      <c r="J15" s="1079"/>
      <c r="K15" s="1077" t="s">
        <v>363</v>
      </c>
      <c r="L15" s="1090"/>
      <c r="M15" s="1061"/>
    </row>
    <row r="16" spans="1:14" s="1111" customFormat="1" ht="12" customHeight="1">
      <c r="A16" s="1079"/>
      <c r="B16" s="1080">
        <v>8</v>
      </c>
      <c r="C16" s="1080"/>
      <c r="D16" s="1085"/>
      <c r="E16" s="1080"/>
      <c r="F16" s="1082"/>
      <c r="G16" s="1080"/>
      <c r="H16" s="1086" t="s">
        <v>519</v>
      </c>
      <c r="I16" s="1087" t="s">
        <v>1593</v>
      </c>
      <c r="J16" s="1079"/>
      <c r="K16" s="1077" t="s">
        <v>134</v>
      </c>
      <c r="L16" s="1078"/>
      <c r="M16" s="1091"/>
    </row>
    <row r="17" spans="2:14" s="1111" customFormat="1" ht="12" customHeight="1">
      <c r="B17" s="1080">
        <v>9</v>
      </c>
      <c r="C17" s="1080"/>
      <c r="D17" s="1085"/>
      <c r="E17" s="1080"/>
      <c r="F17" s="1082"/>
      <c r="G17" s="1080"/>
      <c r="H17" s="1086" t="s">
        <v>519</v>
      </c>
      <c r="I17" s="1087" t="s">
        <v>530</v>
      </c>
      <c r="J17" s="1079"/>
      <c r="K17" s="1077" t="s">
        <v>134</v>
      </c>
      <c r="L17" s="1078"/>
      <c r="M17" s="1089" t="s">
        <v>134</v>
      </c>
      <c r="N17" s="1089" t="s">
        <v>134</v>
      </c>
    </row>
    <row r="18" spans="2:14" s="1111" customFormat="1" ht="12" customHeight="1">
      <c r="B18" s="1080">
        <v>10</v>
      </c>
      <c r="C18" s="1080"/>
      <c r="D18" s="1085"/>
      <c r="E18" s="1080"/>
      <c r="F18" s="1082"/>
      <c r="G18" s="1080"/>
      <c r="H18" s="1086" t="s">
        <v>519</v>
      </c>
      <c r="I18" s="1087" t="s">
        <v>524</v>
      </c>
      <c r="J18" s="1079"/>
      <c r="K18" s="1077" t="s">
        <v>134</v>
      </c>
      <c r="L18" s="1078"/>
      <c r="M18" s="1061"/>
    </row>
    <row r="19" spans="2:14" s="1111" customFormat="1" ht="12" customHeight="1">
      <c r="B19" s="1080">
        <v>11</v>
      </c>
      <c r="C19" s="1080"/>
      <c r="D19" s="1085"/>
      <c r="E19" s="1080"/>
      <c r="F19" s="1082"/>
      <c r="G19" s="1080"/>
      <c r="H19" s="1086" t="s">
        <v>519</v>
      </c>
      <c r="I19" s="1087" t="s">
        <v>1594</v>
      </c>
      <c r="J19" s="1079"/>
      <c r="K19" s="1077" t="s">
        <v>134</v>
      </c>
      <c r="L19" s="1078"/>
      <c r="M19" s="1061"/>
    </row>
    <row r="20" spans="2:14" s="1111" customFormat="1" ht="12" customHeight="1">
      <c r="B20" s="1080">
        <v>12</v>
      </c>
      <c r="C20" s="1080"/>
      <c r="D20" s="1085"/>
      <c r="E20" s="1080"/>
      <c r="F20" s="1082"/>
      <c r="G20" s="1080"/>
      <c r="H20" s="1086" t="s">
        <v>519</v>
      </c>
      <c r="I20" s="1087" t="s">
        <v>1005</v>
      </c>
      <c r="J20" s="1079"/>
      <c r="K20" s="1077" t="s">
        <v>134</v>
      </c>
      <c r="L20" s="1078"/>
      <c r="M20" s="1061"/>
    </row>
    <row r="21" spans="2:14" s="1111" customFormat="1" ht="12" customHeight="1">
      <c r="B21" s="1080">
        <v>13</v>
      </c>
      <c r="C21" s="1080"/>
      <c r="D21" s="1085"/>
      <c r="E21" s="1080"/>
      <c r="F21" s="1082"/>
      <c r="G21" s="1080"/>
      <c r="H21" s="1086" t="s">
        <v>519</v>
      </c>
      <c r="I21" s="1087" t="s">
        <v>1006</v>
      </c>
      <c r="J21" s="1079"/>
      <c r="K21" s="1077" t="s">
        <v>134</v>
      </c>
      <c r="L21" s="1078"/>
      <c r="M21" s="1061"/>
    </row>
    <row r="22" spans="2:14" s="1111" customFormat="1" ht="12" customHeight="1">
      <c r="B22" s="1080"/>
      <c r="C22" s="1080"/>
      <c r="D22" s="1081" t="s">
        <v>520</v>
      </c>
      <c r="E22" s="1082" t="s">
        <v>531</v>
      </c>
      <c r="F22" s="1082"/>
      <c r="G22" s="1080"/>
      <c r="H22" s="1086"/>
      <c r="I22" s="1087"/>
      <c r="J22" s="1079"/>
      <c r="K22" s="1077" t="s">
        <v>134</v>
      </c>
      <c r="L22" s="1078"/>
      <c r="M22" s="1061"/>
    </row>
    <row r="23" spans="2:14" s="1111" customFormat="1" ht="12" customHeight="1">
      <c r="B23" s="1080">
        <v>14</v>
      </c>
      <c r="C23" s="1080"/>
      <c r="D23" s="1085"/>
      <c r="E23" s="1080"/>
      <c r="F23" s="1082"/>
      <c r="G23" s="1080"/>
      <c r="H23" s="1086" t="s">
        <v>519</v>
      </c>
      <c r="I23" s="1087" t="s">
        <v>1244</v>
      </c>
      <c r="J23" s="1079"/>
      <c r="K23" s="1077" t="s">
        <v>134</v>
      </c>
      <c r="L23" s="1078"/>
      <c r="M23" s="1061"/>
    </row>
    <row r="24" spans="2:14" s="1111" customFormat="1" ht="12" customHeight="1">
      <c r="B24" s="1080">
        <v>15</v>
      </c>
      <c r="C24" s="1080"/>
      <c r="D24" s="1085"/>
      <c r="E24" s="1080"/>
      <c r="F24" s="1082"/>
      <c r="G24" s="1080"/>
      <c r="H24" s="1086" t="s">
        <v>519</v>
      </c>
      <c r="I24" s="1087" t="s">
        <v>1595</v>
      </c>
      <c r="J24" s="1079"/>
      <c r="K24" s="1077" t="s">
        <v>134</v>
      </c>
      <c r="L24" s="1078"/>
      <c r="M24" s="1061"/>
    </row>
    <row r="25" spans="2:14" s="1111" customFormat="1" ht="12" customHeight="1">
      <c r="B25" s="1080">
        <v>16</v>
      </c>
      <c r="C25" s="1080"/>
      <c r="D25" s="1085"/>
      <c r="E25" s="1080"/>
      <c r="F25" s="1082"/>
      <c r="G25" s="1080"/>
      <c r="H25" s="1086" t="s">
        <v>519</v>
      </c>
      <c r="I25" s="1087" t="s">
        <v>525</v>
      </c>
      <c r="J25" s="1079"/>
      <c r="K25" s="1077" t="s">
        <v>134</v>
      </c>
      <c r="L25" s="1078"/>
      <c r="M25" s="1061"/>
    </row>
    <row r="26" spans="2:14" s="1111" customFormat="1" ht="12" customHeight="1">
      <c r="B26" s="1080">
        <v>17</v>
      </c>
      <c r="C26" s="1080"/>
      <c r="D26" s="1085"/>
      <c r="E26" s="1080"/>
      <c r="F26" s="1082"/>
      <c r="G26" s="1080"/>
      <c r="H26" s="1086" t="s">
        <v>519</v>
      </c>
      <c r="I26" s="1087" t="s">
        <v>1596</v>
      </c>
      <c r="J26" s="1079"/>
      <c r="K26" s="1077" t="s">
        <v>134</v>
      </c>
      <c r="L26" s="1078"/>
      <c r="M26" s="1061"/>
    </row>
    <row r="27" spans="2:14" s="1111" customFormat="1" ht="12" customHeight="1">
      <c r="B27" s="1080">
        <v>18</v>
      </c>
      <c r="C27" s="1080"/>
      <c r="D27" s="1085"/>
      <c r="E27" s="1080"/>
      <c r="F27" s="1082"/>
      <c r="G27" s="1080"/>
      <c r="H27" s="1086" t="s">
        <v>519</v>
      </c>
      <c r="I27" s="1087" t="s">
        <v>514</v>
      </c>
      <c r="J27" s="1079"/>
      <c r="K27" s="1077"/>
      <c r="L27" s="1078"/>
      <c r="M27" s="1061"/>
    </row>
    <row r="28" spans="2:14" s="1111" customFormat="1" ht="12" customHeight="1">
      <c r="B28" s="1080">
        <v>19</v>
      </c>
      <c r="C28" s="1082"/>
      <c r="D28" s="1081"/>
      <c r="E28" s="1082"/>
      <c r="F28" s="1081"/>
      <c r="G28" s="1082"/>
      <c r="H28" s="1086" t="s">
        <v>519</v>
      </c>
      <c r="I28" s="1087" t="s">
        <v>532</v>
      </c>
      <c r="J28" s="1079"/>
      <c r="K28" s="1077" t="s">
        <v>134</v>
      </c>
      <c r="L28" s="1078"/>
      <c r="M28" s="1089" t="s">
        <v>134</v>
      </c>
      <c r="N28" s="1089" t="s">
        <v>134</v>
      </c>
    </row>
    <row r="29" spans="2:14" s="1111" customFormat="1" ht="12" customHeight="1">
      <c r="B29" s="1080">
        <v>20</v>
      </c>
      <c r="C29" s="1080" t="s">
        <v>526</v>
      </c>
      <c r="D29" s="1085"/>
      <c r="E29" s="1080"/>
      <c r="F29" s="1085"/>
      <c r="G29" s="1080"/>
      <c r="H29" s="1086"/>
      <c r="I29" s="1087"/>
      <c r="J29" s="1079"/>
      <c r="K29" s="1092"/>
      <c r="L29" s="1093"/>
      <c r="M29" s="1061"/>
    </row>
    <row r="30" spans="2:14" s="1111" customFormat="1" ht="12" customHeight="1">
      <c r="B30" s="1080"/>
      <c r="C30" s="1082"/>
      <c r="D30" s="1081"/>
      <c r="E30" s="1082" t="s">
        <v>1668</v>
      </c>
      <c r="F30" s="1081"/>
      <c r="G30" s="1082"/>
      <c r="H30" s="1083" t="s">
        <v>519</v>
      </c>
      <c r="I30" s="1088" t="s">
        <v>533</v>
      </c>
      <c r="J30" s="1079"/>
      <c r="K30" s="1077" t="s">
        <v>134</v>
      </c>
      <c r="L30" s="1078"/>
      <c r="M30" s="1089" t="s">
        <v>134</v>
      </c>
      <c r="N30" s="1089" t="s">
        <v>134</v>
      </c>
    </row>
    <row r="31" spans="2:14" s="1111" customFormat="1" ht="12" customHeight="1">
      <c r="B31" s="1080">
        <v>21</v>
      </c>
      <c r="C31" s="1080" t="s">
        <v>1669</v>
      </c>
      <c r="D31" s="1081"/>
      <c r="E31" s="1082"/>
      <c r="F31" s="1081"/>
      <c r="G31" s="1082"/>
      <c r="H31" s="1083"/>
      <c r="I31" s="1088"/>
      <c r="J31" s="1079"/>
      <c r="K31" s="1092"/>
      <c r="L31" s="1093"/>
      <c r="M31" s="1061"/>
    </row>
    <row r="32" spans="2:14" s="1111" customFormat="1" ht="12" customHeight="1">
      <c r="B32" s="1080"/>
      <c r="C32" s="1082"/>
      <c r="D32" s="1081" t="s">
        <v>520</v>
      </c>
      <c r="E32" s="1082" t="s">
        <v>1670</v>
      </c>
      <c r="F32" s="1081"/>
      <c r="G32" s="1082"/>
      <c r="H32" s="1083" t="s">
        <v>519</v>
      </c>
      <c r="I32" s="1088" t="s">
        <v>1671</v>
      </c>
      <c r="J32" s="1079"/>
      <c r="K32" s="1077" t="s">
        <v>134</v>
      </c>
      <c r="L32" s="1078"/>
      <c r="M32" s="1061"/>
    </row>
    <row r="33" spans="2:13" s="1111" customFormat="1" ht="12" customHeight="1">
      <c r="B33" s="1080"/>
      <c r="C33" s="1082"/>
      <c r="D33" s="1081"/>
      <c r="E33" s="1082"/>
      <c r="F33" s="1081" t="s">
        <v>1672</v>
      </c>
      <c r="G33" s="1082" t="s">
        <v>534</v>
      </c>
      <c r="H33" s="1083"/>
      <c r="I33" s="1088"/>
      <c r="J33" s="1079"/>
      <c r="K33" s="1092"/>
      <c r="L33" s="1078"/>
      <c r="M33" s="1061"/>
    </row>
    <row r="34" spans="2:13" s="1111" customFormat="1" ht="12" customHeight="1">
      <c r="B34" s="1080"/>
      <c r="C34" s="1082"/>
      <c r="D34" s="1081"/>
      <c r="E34" s="1082"/>
      <c r="F34" s="1081" t="s">
        <v>1673</v>
      </c>
      <c r="G34" s="1082" t="s">
        <v>1674</v>
      </c>
      <c r="H34" s="1083"/>
      <c r="I34" s="1088"/>
      <c r="J34" s="1079"/>
      <c r="K34" s="1092"/>
      <c r="L34" s="1078"/>
      <c r="M34" s="1061"/>
    </row>
    <row r="35" spans="2:13" s="1111" customFormat="1" ht="12" customHeight="1">
      <c r="B35" s="1080"/>
      <c r="C35" s="1082"/>
      <c r="D35" s="1081"/>
      <c r="E35" s="1082"/>
      <c r="F35" s="1081" t="s">
        <v>1675</v>
      </c>
      <c r="G35" s="1082" t="s">
        <v>1676</v>
      </c>
      <c r="H35" s="1083"/>
      <c r="I35" s="1088"/>
      <c r="J35" s="1079"/>
      <c r="K35" s="1092"/>
      <c r="L35" s="1078"/>
      <c r="M35" s="1061"/>
    </row>
    <row r="36" spans="2:13" s="1111" customFormat="1" ht="12" customHeight="1">
      <c r="B36" s="1080"/>
      <c r="C36" s="1082"/>
      <c r="D36" s="1081"/>
      <c r="E36" s="1082"/>
      <c r="F36" s="1081" t="s">
        <v>1677</v>
      </c>
      <c r="G36" s="1082" t="s">
        <v>1678</v>
      </c>
      <c r="H36" s="1083"/>
      <c r="I36" s="1088"/>
      <c r="J36" s="1079"/>
      <c r="K36" s="1092"/>
      <c r="L36" s="1078"/>
      <c r="M36" s="1061"/>
    </row>
    <row r="37" spans="2:13" s="1111" customFormat="1" ht="12" customHeight="1">
      <c r="B37" s="1080"/>
      <c r="C37" s="1082"/>
      <c r="D37" s="1081" t="s">
        <v>521</v>
      </c>
      <c r="E37" s="1082" t="s">
        <v>1679</v>
      </c>
      <c r="F37" s="1081"/>
      <c r="G37" s="1082"/>
      <c r="H37" s="1083" t="s">
        <v>519</v>
      </c>
      <c r="I37" s="1088" t="s">
        <v>535</v>
      </c>
      <c r="J37" s="1079"/>
      <c r="K37" s="1077" t="s">
        <v>363</v>
      </c>
      <c r="L37" s="1090"/>
      <c r="M37" s="1061"/>
    </row>
    <row r="38" spans="2:13" s="1111" customFormat="1" ht="12" customHeight="1">
      <c r="B38" s="1080"/>
      <c r="C38" s="1082"/>
      <c r="D38" s="1081" t="s">
        <v>1680</v>
      </c>
      <c r="E38" s="1082" t="s">
        <v>1681</v>
      </c>
      <c r="F38" s="1081"/>
      <c r="G38" s="1082"/>
      <c r="H38" s="1083" t="s">
        <v>519</v>
      </c>
      <c r="I38" s="1088" t="s">
        <v>1682</v>
      </c>
      <c r="J38" s="1079"/>
      <c r="K38" s="1077" t="s">
        <v>134</v>
      </c>
      <c r="L38" s="1090"/>
      <c r="M38" s="1089" t="s">
        <v>134</v>
      </c>
    </row>
    <row r="39" spans="2:13" s="1111" customFormat="1" ht="12" customHeight="1">
      <c r="B39" s="1080"/>
      <c r="C39" s="1082"/>
      <c r="D39" s="1081"/>
      <c r="E39" s="1082"/>
      <c r="F39" s="1081" t="s">
        <v>1672</v>
      </c>
      <c r="G39" s="1082" t="s">
        <v>1683</v>
      </c>
      <c r="H39" s="1083"/>
      <c r="I39" s="1088"/>
      <c r="J39" s="1079"/>
      <c r="K39" s="1092"/>
      <c r="L39" s="1090"/>
      <c r="M39" s="1061"/>
    </row>
    <row r="40" spans="2:13" s="1111" customFormat="1" ht="12" customHeight="1">
      <c r="B40" s="1080"/>
      <c r="C40" s="1082"/>
      <c r="D40" s="1081"/>
      <c r="E40" s="1082"/>
      <c r="F40" s="1081" t="s">
        <v>1673</v>
      </c>
      <c r="G40" s="1082" t="s">
        <v>1684</v>
      </c>
      <c r="H40" s="1083"/>
      <c r="I40" s="1088"/>
      <c r="J40" s="1079"/>
      <c r="K40" s="1092"/>
      <c r="L40" s="1090"/>
      <c r="M40" s="1061"/>
    </row>
    <row r="41" spans="2:13" s="1111" customFormat="1" ht="12" customHeight="1">
      <c r="B41" s="1080"/>
      <c r="C41" s="1082"/>
      <c r="D41" s="1081" t="s">
        <v>1685</v>
      </c>
      <c r="E41" s="1082" t="s">
        <v>1686</v>
      </c>
      <c r="F41" s="1081"/>
      <c r="G41" s="1082"/>
      <c r="H41" s="1083" t="s">
        <v>519</v>
      </c>
      <c r="I41" s="1088" t="s">
        <v>1687</v>
      </c>
      <c r="J41" s="1079"/>
      <c r="K41" s="1077" t="s">
        <v>363</v>
      </c>
      <c r="L41" s="1090"/>
      <c r="M41" s="1061"/>
    </row>
    <row r="42" spans="2:13" s="1111" customFormat="1" ht="12" customHeight="1">
      <c r="B42" s="1080"/>
      <c r="C42" s="1082"/>
      <c r="D42" s="1081" t="s">
        <v>1688</v>
      </c>
      <c r="E42" s="1082" t="s">
        <v>1689</v>
      </c>
      <c r="F42" s="1081"/>
      <c r="G42" s="1082"/>
      <c r="H42" s="1083" t="s">
        <v>519</v>
      </c>
      <c r="I42" s="1088" t="s">
        <v>1690</v>
      </c>
      <c r="J42" s="1079"/>
      <c r="K42" s="1077" t="s">
        <v>363</v>
      </c>
      <c r="L42" s="1090"/>
      <c r="M42" s="1061"/>
    </row>
    <row r="43" spans="2:13" s="1111" customFormat="1" ht="9.75" customHeight="1">
      <c r="B43" s="1080"/>
      <c r="C43" s="1082"/>
      <c r="D43" s="1081"/>
      <c r="E43" s="1082"/>
      <c r="F43" s="1081"/>
      <c r="G43" s="1082"/>
      <c r="H43" s="1083"/>
      <c r="I43" s="1088"/>
      <c r="J43" s="1079"/>
      <c r="K43" s="1133"/>
      <c r="L43" s="1134"/>
      <c r="M43" s="1061"/>
    </row>
    <row r="44" spans="2:13" s="1111" customFormat="1" ht="12" customHeight="1">
      <c r="B44" s="1080">
        <v>22</v>
      </c>
      <c r="C44" s="1080" t="s">
        <v>1691</v>
      </c>
      <c r="D44" s="1081"/>
      <c r="E44" s="1082"/>
      <c r="F44" s="1081"/>
      <c r="G44" s="1082"/>
      <c r="H44" s="1083"/>
      <c r="I44" s="1088"/>
      <c r="J44" s="1079"/>
      <c r="K44" s="1135"/>
      <c r="L44" s="1136"/>
    </row>
    <row r="45" spans="2:13" s="1111" customFormat="1" ht="12" customHeight="1">
      <c r="B45" s="1080"/>
      <c r="C45" s="1082"/>
      <c r="D45" s="1081" t="s">
        <v>520</v>
      </c>
      <c r="E45" s="1082" t="s">
        <v>1692</v>
      </c>
      <c r="F45" s="1081"/>
      <c r="G45" s="1082"/>
      <c r="H45" s="1083" t="s">
        <v>519</v>
      </c>
      <c r="I45" s="1088" t="s">
        <v>1693</v>
      </c>
      <c r="J45" s="1079"/>
      <c r="K45" s="1077" t="s">
        <v>134</v>
      </c>
      <c r="L45" s="1090"/>
      <c r="M45" s="1089" t="s">
        <v>134</v>
      </c>
    </row>
    <row r="46" spans="2:13" s="1111" customFormat="1" ht="12" customHeight="1">
      <c r="B46" s="1080"/>
      <c r="C46" s="1082"/>
      <c r="D46" s="1081" t="s">
        <v>521</v>
      </c>
      <c r="E46" s="1082" t="s">
        <v>1694</v>
      </c>
      <c r="F46" s="1081"/>
      <c r="G46" s="1082"/>
      <c r="H46" s="1083" t="s">
        <v>519</v>
      </c>
      <c r="I46" s="1088" t="s">
        <v>1696</v>
      </c>
      <c r="J46" s="1079"/>
      <c r="K46" s="1077"/>
      <c r="L46" s="1090"/>
      <c r="M46" s="1089" t="s">
        <v>134</v>
      </c>
    </row>
    <row r="47" spans="2:13" s="1111" customFormat="1" ht="25.5" customHeight="1">
      <c r="B47" s="1080"/>
      <c r="C47" s="1082"/>
      <c r="D47" s="1081" t="s">
        <v>1680</v>
      </c>
      <c r="E47" s="1082" t="s">
        <v>1697</v>
      </c>
      <c r="F47" s="1081"/>
      <c r="G47" s="1082"/>
      <c r="H47" s="1083" t="s">
        <v>519</v>
      </c>
      <c r="I47" s="1137" t="s">
        <v>1205</v>
      </c>
      <c r="J47" s="1079"/>
      <c r="K47" s="1077" t="s">
        <v>134</v>
      </c>
      <c r="L47" s="1090"/>
      <c r="M47" s="1089" t="s">
        <v>134</v>
      </c>
    </row>
    <row r="48" spans="2:13" s="1111" customFormat="1" ht="27" customHeight="1">
      <c r="B48" s="1080"/>
      <c r="C48" s="1082"/>
      <c r="D48" s="1081" t="s">
        <v>1685</v>
      </c>
      <c r="E48" s="1082" t="s">
        <v>1698</v>
      </c>
      <c r="F48" s="1081"/>
      <c r="G48" s="1082"/>
      <c r="H48" s="1083" t="s">
        <v>519</v>
      </c>
      <c r="I48" s="1088" t="s">
        <v>536</v>
      </c>
      <c r="J48" s="1079"/>
      <c r="K48" s="1097"/>
      <c r="L48" s="1090"/>
      <c r="M48" s="1089" t="s">
        <v>134</v>
      </c>
    </row>
    <row r="49" spans="2:13" s="1111" customFormat="1" ht="12" customHeight="1">
      <c r="B49" s="1080"/>
      <c r="C49" s="1082"/>
      <c r="D49" s="1081"/>
      <c r="E49" s="1082"/>
      <c r="F49" s="1081"/>
      <c r="G49" s="1082"/>
      <c r="H49" s="1083"/>
      <c r="I49" s="1088"/>
      <c r="J49" s="1079"/>
      <c r="K49" s="1133" t="s">
        <v>363</v>
      </c>
      <c r="L49" s="1138"/>
      <c r="M49" s="1061"/>
    </row>
    <row r="50" spans="2:13" s="1111" customFormat="1" ht="12" customHeight="1">
      <c r="B50" s="1080">
        <v>23</v>
      </c>
      <c r="C50" s="1080" t="s">
        <v>1699</v>
      </c>
      <c r="D50" s="1081"/>
      <c r="E50" s="1082"/>
      <c r="F50" s="1081"/>
      <c r="G50" s="1082"/>
      <c r="H50" s="1083"/>
      <c r="I50" s="1088"/>
      <c r="J50" s="1079"/>
      <c r="K50" s="1135"/>
      <c r="L50" s="1136"/>
      <c r="M50" s="1061"/>
    </row>
    <row r="51" spans="2:13" s="1111" customFormat="1" ht="12" customHeight="1">
      <c r="B51" s="1080"/>
      <c r="C51" s="1082"/>
      <c r="D51" s="1081" t="s">
        <v>520</v>
      </c>
      <c r="E51" s="1082" t="s">
        <v>1700</v>
      </c>
      <c r="F51" s="1081"/>
      <c r="G51" s="1082"/>
      <c r="H51" s="1083" t="s">
        <v>519</v>
      </c>
      <c r="I51" s="1088" t="s">
        <v>537</v>
      </c>
      <c r="J51" s="1079"/>
      <c r="K51" s="1077"/>
      <c r="L51" s="1090"/>
      <c r="M51" s="1061"/>
    </row>
    <row r="52" spans="2:13" s="1111" customFormat="1" ht="12" customHeight="1">
      <c r="B52" s="1080"/>
      <c r="C52" s="1082"/>
      <c r="D52" s="1081" t="s">
        <v>521</v>
      </c>
      <c r="E52" s="1082" t="s">
        <v>1701</v>
      </c>
      <c r="F52" s="1081"/>
      <c r="G52" s="1082"/>
      <c r="H52" s="1083" t="s">
        <v>519</v>
      </c>
      <c r="I52" s="1088" t="s">
        <v>1702</v>
      </c>
      <c r="J52" s="1079"/>
      <c r="K52" s="1077"/>
      <c r="L52" s="1090"/>
      <c r="M52" s="1061"/>
    </row>
    <row r="53" spans="2:13" s="1111" customFormat="1" ht="12" customHeight="1">
      <c r="B53" s="1080"/>
      <c r="C53" s="1082"/>
      <c r="D53" s="1081" t="s">
        <v>1680</v>
      </c>
      <c r="E53" s="1082" t="s">
        <v>1703</v>
      </c>
      <c r="F53" s="1081"/>
      <c r="G53" s="1082"/>
      <c r="H53" s="1083" t="s">
        <v>519</v>
      </c>
      <c r="I53" s="1088" t="s">
        <v>1206</v>
      </c>
      <c r="J53" s="1079"/>
      <c r="K53" s="1077"/>
      <c r="L53" s="1090"/>
      <c r="M53" s="1061"/>
    </row>
    <row r="54" spans="2:13" s="1111" customFormat="1" ht="12" customHeight="1">
      <c r="B54" s="1080"/>
      <c r="C54" s="1082"/>
      <c r="D54" s="1081" t="s">
        <v>1685</v>
      </c>
      <c r="E54" s="1082" t="s">
        <v>1704</v>
      </c>
      <c r="F54" s="1081"/>
      <c r="G54" s="1082"/>
      <c r="H54" s="1083" t="s">
        <v>519</v>
      </c>
      <c r="I54" s="1088" t="s">
        <v>1705</v>
      </c>
      <c r="J54" s="1079"/>
      <c r="K54" s="1077"/>
      <c r="L54" s="1090"/>
      <c r="M54" s="1061"/>
    </row>
    <row r="55" spans="2:13" s="1111" customFormat="1" ht="12" customHeight="1">
      <c r="B55" s="1080"/>
      <c r="C55" s="1082"/>
      <c r="D55" s="1081" t="s">
        <v>1688</v>
      </c>
      <c r="E55" s="1082" t="s">
        <v>1706</v>
      </c>
      <c r="F55" s="1081"/>
      <c r="G55" s="1082"/>
      <c r="H55" s="1083" t="s">
        <v>519</v>
      </c>
      <c r="I55" s="1088" t="s">
        <v>1707</v>
      </c>
      <c r="J55" s="1079"/>
      <c r="K55" s="1077"/>
      <c r="L55" s="1090"/>
      <c r="M55" s="1061"/>
    </row>
    <row r="56" spans="2:13" s="1111" customFormat="1" ht="24.75" customHeight="1">
      <c r="B56" s="1080"/>
      <c r="C56" s="1082"/>
      <c r="D56" s="1081" t="s">
        <v>1720</v>
      </c>
      <c r="E56" s="1082" t="s">
        <v>1709</v>
      </c>
      <c r="F56" s="1081"/>
      <c r="G56" s="1082"/>
      <c r="H56" s="1083" t="s">
        <v>519</v>
      </c>
      <c r="I56" s="1137" t="s">
        <v>672</v>
      </c>
      <c r="J56" s="1079"/>
      <c r="K56" s="1077"/>
      <c r="L56" s="1090"/>
      <c r="M56" s="1061"/>
    </row>
    <row r="57" spans="2:13" s="1111" customFormat="1" ht="12" customHeight="1">
      <c r="B57" s="1080"/>
      <c r="C57" s="1082"/>
      <c r="D57" s="1081"/>
      <c r="E57" s="1082"/>
      <c r="F57" s="1081"/>
      <c r="G57" s="1082"/>
      <c r="H57" s="1083"/>
      <c r="I57" s="1088"/>
      <c r="J57" s="1079"/>
      <c r="K57" s="1101"/>
      <c r="L57" s="1102"/>
      <c r="M57" s="1061"/>
    </row>
    <row r="58" spans="2:13" s="1111" customFormat="1" ht="12.75" customHeight="1">
      <c r="B58" s="1080">
        <v>24</v>
      </c>
      <c r="C58" s="1080" t="s">
        <v>1714</v>
      </c>
      <c r="D58" s="1081"/>
      <c r="E58" s="1082"/>
      <c r="F58" s="1081"/>
      <c r="G58" s="1082"/>
      <c r="H58" s="1083"/>
      <c r="I58" s="1088"/>
      <c r="J58" s="1079"/>
      <c r="K58" s="1135"/>
      <c r="L58" s="1136"/>
      <c r="M58" s="1061"/>
    </row>
    <row r="59" spans="2:13" s="1111" customFormat="1" ht="12.75" customHeight="1">
      <c r="B59" s="1080"/>
      <c r="C59" s="1080"/>
      <c r="D59" s="1081" t="s">
        <v>520</v>
      </c>
      <c r="E59" s="1082" t="s">
        <v>1711</v>
      </c>
      <c r="F59" s="1081"/>
      <c r="G59" s="1082"/>
      <c r="H59" s="1083" t="s">
        <v>519</v>
      </c>
      <c r="I59" s="1137" t="s">
        <v>673</v>
      </c>
      <c r="J59" s="1079"/>
      <c r="K59" s="1077" t="s">
        <v>363</v>
      </c>
      <c r="L59" s="1090"/>
      <c r="M59" s="1061"/>
    </row>
    <row r="60" spans="2:13" s="1111" customFormat="1" ht="42">
      <c r="B60" s="1080"/>
      <c r="C60" s="1082"/>
      <c r="D60" s="1081" t="s">
        <v>521</v>
      </c>
      <c r="E60" s="1082" t="s">
        <v>1713</v>
      </c>
      <c r="F60" s="1095"/>
      <c r="G60" s="1096"/>
      <c r="H60" s="1083" t="s">
        <v>519</v>
      </c>
      <c r="I60" s="1137" t="s">
        <v>674</v>
      </c>
      <c r="J60" s="1079"/>
      <c r="K60" s="1077" t="s">
        <v>363</v>
      </c>
      <c r="L60" s="1090"/>
      <c r="M60" s="1061"/>
    </row>
    <row r="61" spans="2:13" s="1111" customFormat="1" ht="24.75" customHeight="1">
      <c r="B61" s="1080"/>
      <c r="C61" s="1082"/>
      <c r="D61" s="1081" t="s">
        <v>1680</v>
      </c>
      <c r="E61" s="1082" t="s">
        <v>1715</v>
      </c>
      <c r="F61" s="1081"/>
      <c r="G61" s="1082"/>
      <c r="H61" s="1083" t="s">
        <v>519</v>
      </c>
      <c r="I61" s="1088" t="s">
        <v>1821</v>
      </c>
      <c r="J61" s="1079"/>
      <c r="K61" s="1077"/>
      <c r="L61" s="1090"/>
      <c r="M61" s="1061"/>
    </row>
    <row r="62" spans="2:13" s="1111" customFormat="1" ht="24" customHeight="1">
      <c r="B62" s="1080"/>
      <c r="C62" s="1082"/>
      <c r="D62" s="1081" t="s">
        <v>1685</v>
      </c>
      <c r="E62" s="1082" t="s">
        <v>1716</v>
      </c>
      <c r="F62" s="1081"/>
      <c r="G62" s="1082"/>
      <c r="H62" s="1083" t="s">
        <v>519</v>
      </c>
      <c r="I62" s="1088" t="s">
        <v>1822</v>
      </c>
      <c r="J62" s="1079"/>
      <c r="K62" s="1097"/>
      <c r="L62" s="1090"/>
      <c r="M62" s="1061"/>
    </row>
    <row r="63" spans="2:13" s="1111" customFormat="1" ht="12.75" customHeight="1">
      <c r="B63" s="1080"/>
      <c r="C63" s="1082"/>
      <c r="D63" s="1081"/>
      <c r="E63" s="1082"/>
      <c r="F63" s="1081"/>
      <c r="G63" s="1082"/>
      <c r="H63" s="1083" t="s">
        <v>519</v>
      </c>
      <c r="I63" s="1137" t="s">
        <v>1823</v>
      </c>
      <c r="J63" s="1079"/>
      <c r="K63" s="1097"/>
      <c r="L63" s="1090"/>
      <c r="M63" s="1061"/>
    </row>
    <row r="64" spans="2:13" s="1111" customFormat="1" ht="12.75" customHeight="1">
      <c r="B64" s="1080"/>
      <c r="C64" s="1082"/>
      <c r="D64" s="1081"/>
      <c r="E64" s="1082"/>
      <c r="F64" s="1081"/>
      <c r="G64" s="1082"/>
      <c r="H64" s="1083" t="s">
        <v>519</v>
      </c>
      <c r="I64" s="1137" t="s">
        <v>1824</v>
      </c>
      <c r="J64" s="1079"/>
      <c r="K64" s="1097"/>
      <c r="L64" s="1090"/>
      <c r="M64" s="1061"/>
    </row>
    <row r="65" spans="2:13" s="1111" customFormat="1" ht="16.5" customHeight="1">
      <c r="B65" s="1080"/>
      <c r="C65" s="1082"/>
      <c r="D65" s="1081" t="s">
        <v>1688</v>
      </c>
      <c r="E65" s="1082" t="s">
        <v>1717</v>
      </c>
      <c r="F65" s="1081"/>
      <c r="G65" s="1082"/>
      <c r="H65" s="1083" t="s">
        <v>519</v>
      </c>
      <c r="I65" s="1152" t="s">
        <v>2062</v>
      </c>
      <c r="J65" s="1079"/>
      <c r="K65" s="1077" t="s">
        <v>363</v>
      </c>
      <c r="L65" s="1090"/>
      <c r="M65" s="1061"/>
    </row>
    <row r="66" spans="2:13" s="1111" customFormat="1" ht="12" customHeight="1">
      <c r="B66" s="1080"/>
      <c r="C66" s="1082"/>
      <c r="D66" s="1081"/>
      <c r="E66" s="1082"/>
      <c r="F66" s="1081" t="s">
        <v>1672</v>
      </c>
      <c r="G66" s="1082" t="s">
        <v>2066</v>
      </c>
      <c r="H66" s="1083"/>
      <c r="I66" s="1152"/>
      <c r="J66" s="1079"/>
      <c r="K66" s="1077"/>
      <c r="L66" s="1090"/>
      <c r="M66" s="1061"/>
    </row>
    <row r="67" spans="2:13" s="1111" customFormat="1" ht="14.25" customHeight="1">
      <c r="B67" s="1080"/>
      <c r="C67" s="1082"/>
      <c r="D67" s="1081"/>
      <c r="E67" s="1082"/>
      <c r="F67" s="1081" t="s">
        <v>1673</v>
      </c>
      <c r="G67" s="1082" t="s">
        <v>2067</v>
      </c>
      <c r="H67" s="1083"/>
      <c r="I67" s="1152"/>
      <c r="J67" s="1079"/>
      <c r="K67" s="1077"/>
      <c r="L67" s="1090"/>
      <c r="M67" s="1061"/>
    </row>
    <row r="68" spans="2:13" s="1111" customFormat="1" ht="12.75" customHeight="1">
      <c r="B68" s="1080"/>
      <c r="C68" s="1082"/>
      <c r="D68" s="1081" t="s">
        <v>1720</v>
      </c>
      <c r="E68" s="1082" t="s">
        <v>1718</v>
      </c>
      <c r="F68" s="1081"/>
      <c r="G68" s="1082"/>
      <c r="H68" s="1083" t="s">
        <v>519</v>
      </c>
      <c r="I68" s="1088" t="s">
        <v>1825</v>
      </c>
      <c r="J68" s="1079"/>
      <c r="K68" s="1077" t="s">
        <v>363</v>
      </c>
      <c r="L68" s="1090"/>
      <c r="M68" s="1061"/>
    </row>
    <row r="69" spans="2:13" s="1111" customFormat="1" ht="12.75" customHeight="1">
      <c r="B69" s="1080"/>
      <c r="C69" s="1082"/>
      <c r="D69" s="1081"/>
      <c r="E69" s="1082"/>
      <c r="F69" s="1081" t="s">
        <v>1672</v>
      </c>
      <c r="G69" s="1578" t="s">
        <v>1826</v>
      </c>
      <c r="H69" s="1578"/>
      <c r="I69" s="1578"/>
      <c r="J69" s="1079"/>
      <c r="K69" s="1077" t="s">
        <v>363</v>
      </c>
      <c r="L69" s="1090"/>
      <c r="M69" s="1061"/>
    </row>
    <row r="70" spans="2:13" s="1111" customFormat="1" ht="27" customHeight="1">
      <c r="B70" s="1080"/>
      <c r="C70" s="1082"/>
      <c r="D70" s="1081"/>
      <c r="E70" s="1082"/>
      <c r="F70" s="1081" t="s">
        <v>1673</v>
      </c>
      <c r="G70" s="1578" t="s">
        <v>1198</v>
      </c>
      <c r="H70" s="1578"/>
      <c r="I70" s="1578"/>
      <c r="J70" s="1079"/>
      <c r="K70" s="1077" t="s">
        <v>363</v>
      </c>
      <c r="L70" s="1090"/>
      <c r="M70" s="1061"/>
    </row>
    <row r="71" spans="2:13" s="1111" customFormat="1" ht="12.75" customHeight="1">
      <c r="B71" s="1080"/>
      <c r="C71" s="1082"/>
      <c r="D71" s="1081"/>
      <c r="E71" s="1082"/>
      <c r="F71" s="1098" t="s">
        <v>1675</v>
      </c>
      <c r="G71" s="1578" t="s">
        <v>2063</v>
      </c>
      <c r="H71" s="1578"/>
      <c r="I71" s="1578"/>
      <c r="J71" s="1079"/>
      <c r="K71" s="1077"/>
      <c r="L71" s="1090"/>
      <c r="M71" s="1061"/>
    </row>
    <row r="72" spans="2:13" s="1111" customFormat="1" ht="12.75" customHeight="1">
      <c r="B72" s="1080"/>
      <c r="C72" s="1082"/>
      <c r="D72" s="1081"/>
      <c r="E72" s="1082"/>
      <c r="F72" s="1081"/>
      <c r="G72" s="1578"/>
      <c r="H72" s="1578"/>
      <c r="I72" s="1578"/>
      <c r="J72" s="1079"/>
      <c r="K72" s="1077" t="s">
        <v>363</v>
      </c>
      <c r="L72" s="1090"/>
      <c r="M72" s="1061"/>
    </row>
    <row r="73" spans="2:13" s="1111" customFormat="1" ht="12.75" customHeight="1">
      <c r="B73" s="1080"/>
      <c r="C73" s="1082"/>
      <c r="D73" s="1081" t="s">
        <v>1708</v>
      </c>
      <c r="E73" s="1082" t="s">
        <v>1719</v>
      </c>
      <c r="F73" s="1139"/>
      <c r="G73" s="1140"/>
      <c r="H73" s="1141" t="s">
        <v>519</v>
      </c>
      <c r="I73" s="1137" t="s">
        <v>1207</v>
      </c>
      <c r="J73" s="1079"/>
      <c r="K73" s="1077"/>
      <c r="L73" s="1090"/>
      <c r="M73" s="1061"/>
    </row>
    <row r="74" spans="2:13" s="1111" customFormat="1" ht="12.75" customHeight="1">
      <c r="B74" s="1080"/>
      <c r="C74" s="1082"/>
      <c r="D74" s="1081" t="s">
        <v>1710</v>
      </c>
      <c r="E74" s="1082" t="s">
        <v>1721</v>
      </c>
      <c r="F74" s="1139"/>
      <c r="G74" s="1140"/>
      <c r="H74" s="1141" t="s">
        <v>519</v>
      </c>
      <c r="I74" s="1137" t="s">
        <v>1199</v>
      </c>
      <c r="J74" s="1079"/>
      <c r="K74" s="1077"/>
      <c r="L74" s="1090"/>
      <c r="M74" s="1061"/>
    </row>
    <row r="75" spans="2:13" s="1111" customFormat="1" ht="12.75" customHeight="1">
      <c r="B75" s="1079"/>
      <c r="C75" s="1079"/>
      <c r="D75" s="1081" t="s">
        <v>1672</v>
      </c>
      <c r="E75" s="1082" t="s">
        <v>1722</v>
      </c>
      <c r="F75" s="1142"/>
      <c r="G75" s="1142"/>
      <c r="H75" s="1141" t="s">
        <v>519</v>
      </c>
      <c r="I75" s="1137" t="s">
        <v>2065</v>
      </c>
      <c r="J75" s="1079"/>
      <c r="K75" s="1077"/>
      <c r="L75" s="1090"/>
    </row>
    <row r="76" spans="2:13" s="1111" customFormat="1" ht="12.75" customHeight="1">
      <c r="B76" s="1080"/>
      <c r="C76" s="1082"/>
      <c r="D76" s="1081" t="s">
        <v>1712</v>
      </c>
      <c r="E76" s="1082" t="s">
        <v>1723</v>
      </c>
      <c r="F76" s="1081"/>
      <c r="G76" s="1082"/>
      <c r="H76" s="1083" t="s">
        <v>519</v>
      </c>
      <c r="I76" s="1088" t="s">
        <v>2064</v>
      </c>
      <c r="J76" s="1079"/>
      <c r="K76" s="1077"/>
      <c r="L76" s="1090"/>
      <c r="M76" s="1061"/>
    </row>
    <row r="77" spans="2:13" s="1111" customFormat="1" ht="27" customHeight="1">
      <c r="B77" s="1080"/>
      <c r="C77" s="1082"/>
      <c r="D77" s="1081" t="s">
        <v>1726</v>
      </c>
      <c r="E77" s="1082" t="s">
        <v>1724</v>
      </c>
      <c r="F77" s="1081"/>
      <c r="G77" s="1082"/>
      <c r="H77" s="1083" t="s">
        <v>519</v>
      </c>
      <c r="I77" s="1088" t="s">
        <v>1667</v>
      </c>
      <c r="J77" s="1079"/>
      <c r="K77" s="1077"/>
      <c r="L77" s="1090"/>
      <c r="M77" s="1061"/>
    </row>
    <row r="78" spans="2:13" s="1111" customFormat="1" ht="24.75" customHeight="1">
      <c r="B78" s="1079"/>
      <c r="C78" s="1079"/>
      <c r="D78" s="1081" t="s">
        <v>1728</v>
      </c>
      <c r="E78" s="1082" t="s">
        <v>1725</v>
      </c>
      <c r="F78" s="1079"/>
      <c r="G78" s="1079"/>
      <c r="H78" s="1083" t="s">
        <v>519</v>
      </c>
      <c r="I78" s="1088" t="s">
        <v>1200</v>
      </c>
      <c r="J78" s="1079"/>
      <c r="K78" s="1077"/>
      <c r="L78" s="1090"/>
      <c r="M78" s="1112"/>
    </row>
    <row r="79" spans="2:13" s="1111" customFormat="1" ht="12.75" customHeight="1">
      <c r="B79" s="1080"/>
      <c r="C79" s="1082"/>
      <c r="D79" s="1081" t="s">
        <v>1730</v>
      </c>
      <c r="E79" s="1082" t="s">
        <v>1727</v>
      </c>
      <c r="F79" s="1081"/>
      <c r="G79" s="1082"/>
      <c r="H79" s="1083" t="s">
        <v>519</v>
      </c>
      <c r="I79" s="1088" t="s">
        <v>1201</v>
      </c>
      <c r="J79" s="1079"/>
      <c r="K79" s="1077" t="s">
        <v>363</v>
      </c>
      <c r="L79" s="1090"/>
      <c r="M79" s="1099"/>
    </row>
    <row r="80" spans="2:13" s="1111" customFormat="1" ht="12.75" customHeight="1">
      <c r="B80" s="1080"/>
      <c r="C80" s="1082"/>
      <c r="D80" s="1081" t="s">
        <v>1732</v>
      </c>
      <c r="E80" s="1082" t="s">
        <v>1729</v>
      </c>
      <c r="F80" s="1081"/>
      <c r="G80" s="1082"/>
      <c r="H80" s="1083" t="s">
        <v>519</v>
      </c>
      <c r="I80" s="1088" t="s">
        <v>1202</v>
      </c>
      <c r="J80" s="1079"/>
      <c r="K80" s="1077"/>
      <c r="L80" s="1090"/>
      <c r="M80" s="1061"/>
    </row>
    <row r="81" spans="2:13" s="1111" customFormat="1" ht="25.5" customHeight="1">
      <c r="B81" s="1080"/>
      <c r="C81" s="1082"/>
      <c r="D81" s="1081" t="s">
        <v>1734</v>
      </c>
      <c r="E81" s="1082" t="s">
        <v>1731</v>
      </c>
      <c r="F81" s="1081"/>
      <c r="G81" s="1082"/>
      <c r="H81" s="1083" t="s">
        <v>519</v>
      </c>
      <c r="I81" s="1088" t="s">
        <v>1203</v>
      </c>
      <c r="J81" s="1079"/>
      <c r="K81" s="1077"/>
      <c r="L81" s="1090"/>
      <c r="M81" s="1061"/>
    </row>
    <row r="82" spans="2:13" s="1111" customFormat="1" ht="12.75" customHeight="1">
      <c r="B82" s="1080"/>
      <c r="C82" s="1082"/>
      <c r="D82" s="1081" t="s">
        <v>1736</v>
      </c>
      <c r="E82" s="1082" t="s">
        <v>1733</v>
      </c>
      <c r="F82" s="1081"/>
      <c r="G82" s="1082"/>
      <c r="H82" s="1083" t="s">
        <v>519</v>
      </c>
      <c r="I82" s="1137" t="s">
        <v>1204</v>
      </c>
      <c r="J82" s="1079"/>
      <c r="K82" s="1077"/>
      <c r="L82" s="1090"/>
      <c r="M82" s="1061"/>
    </row>
    <row r="83" spans="2:13" s="1111" customFormat="1" ht="12.75" customHeight="1">
      <c r="B83" s="1080"/>
      <c r="C83" s="1082"/>
      <c r="D83" s="1081" t="s">
        <v>1738</v>
      </c>
      <c r="E83" s="1082" t="s">
        <v>1735</v>
      </c>
      <c r="F83" s="1081"/>
      <c r="G83" s="1082"/>
      <c r="H83" s="1100" t="s">
        <v>519</v>
      </c>
      <c r="I83" s="1088" t="s">
        <v>1743</v>
      </c>
      <c r="J83" s="1079"/>
      <c r="K83" s="1077"/>
      <c r="L83" s="1090"/>
      <c r="M83" s="1061"/>
    </row>
    <row r="84" spans="2:13" s="1111" customFormat="1" ht="9.75" customHeight="1">
      <c r="B84" s="1080"/>
      <c r="C84" s="1082"/>
      <c r="D84" s="1081"/>
      <c r="E84" s="1082"/>
      <c r="F84" s="1081"/>
      <c r="G84" s="1082"/>
      <c r="H84" s="1100"/>
      <c r="I84" s="1088"/>
      <c r="J84" s="1079"/>
      <c r="K84" s="1101"/>
      <c r="L84" s="1102"/>
      <c r="M84" s="1061"/>
    </row>
    <row r="85" spans="2:13" s="1111" customFormat="1" ht="12.75" hidden="1" customHeight="1">
      <c r="B85" s="1080"/>
      <c r="C85" s="1082"/>
      <c r="D85" s="1081"/>
      <c r="E85" s="1082"/>
      <c r="F85" s="1081"/>
      <c r="G85" s="1082"/>
      <c r="H85" s="1100"/>
      <c r="I85" s="1088"/>
      <c r="J85" s="1079"/>
      <c r="K85" s="1101"/>
      <c r="L85" s="1120"/>
      <c r="M85" s="1061"/>
    </row>
    <row r="86" spans="2:13" s="1111" customFormat="1" ht="12.75" customHeight="1">
      <c r="B86" s="1080">
        <v>25</v>
      </c>
      <c r="C86" s="1080" t="s">
        <v>1744</v>
      </c>
      <c r="D86" s="1081"/>
      <c r="E86" s="1082"/>
      <c r="F86" s="1081"/>
      <c r="G86" s="1082"/>
      <c r="H86" s="1083"/>
      <c r="I86" s="1088"/>
      <c r="J86" s="1079"/>
      <c r="K86" s="1135"/>
      <c r="L86" s="1136"/>
      <c r="M86" s="1113"/>
    </row>
    <row r="87" spans="2:13" s="1111" customFormat="1" ht="12.75" customHeight="1">
      <c r="B87" s="1079"/>
      <c r="C87" s="1079"/>
      <c r="D87" s="1081" t="s">
        <v>520</v>
      </c>
      <c r="E87" s="1082" t="s">
        <v>1737</v>
      </c>
      <c r="F87" s="1081"/>
      <c r="G87" s="1082"/>
      <c r="H87" s="1083" t="s">
        <v>519</v>
      </c>
      <c r="I87" s="1088" t="s">
        <v>538</v>
      </c>
      <c r="J87" s="1079"/>
      <c r="K87" s="1077" t="s">
        <v>134</v>
      </c>
      <c r="L87" s="1090"/>
      <c r="M87" s="1089" t="s">
        <v>134</v>
      </c>
    </row>
    <row r="88" spans="2:13" s="1111" customFormat="1" ht="12.75" customHeight="1">
      <c r="B88" s="1079"/>
      <c r="C88" s="1079"/>
      <c r="D88" s="1081" t="s">
        <v>521</v>
      </c>
      <c r="E88" s="1082" t="s">
        <v>1739</v>
      </c>
      <c r="F88" s="1081"/>
      <c r="G88" s="1082"/>
      <c r="H88" s="1083" t="s">
        <v>519</v>
      </c>
      <c r="I88" s="1088" t="s">
        <v>539</v>
      </c>
      <c r="J88" s="1079"/>
      <c r="K88" s="1077" t="s">
        <v>134</v>
      </c>
      <c r="L88" s="1090"/>
      <c r="M88" s="1089" t="s">
        <v>134</v>
      </c>
    </row>
    <row r="89" spans="2:13" s="1111" customFormat="1" ht="12.75" customHeight="1">
      <c r="B89" s="1079"/>
      <c r="C89" s="1079"/>
      <c r="D89" s="1081" t="s">
        <v>1680</v>
      </c>
      <c r="E89" s="1082" t="s">
        <v>1740</v>
      </c>
      <c r="F89" s="1081"/>
      <c r="G89" s="1082"/>
      <c r="H89" s="1083" t="s">
        <v>519</v>
      </c>
      <c r="I89" s="1088" t="s">
        <v>2073</v>
      </c>
      <c r="J89" s="1079"/>
      <c r="K89" s="1077" t="s">
        <v>363</v>
      </c>
      <c r="L89" s="1090"/>
      <c r="M89" s="1103" t="s">
        <v>134</v>
      </c>
    </row>
    <row r="90" spans="2:13" s="1111" customFormat="1" ht="12.75" customHeight="1">
      <c r="B90" s="1079"/>
      <c r="C90" s="1079"/>
      <c r="D90" s="1081" t="s">
        <v>1685</v>
      </c>
      <c r="E90" s="1082" t="s">
        <v>1741</v>
      </c>
      <c r="F90" s="1079"/>
      <c r="G90" s="1079"/>
      <c r="H90" s="1083" t="s">
        <v>519</v>
      </c>
      <c r="I90" s="1082" t="s">
        <v>1749</v>
      </c>
      <c r="J90" s="1079"/>
      <c r="K90" s="1077" t="s">
        <v>134</v>
      </c>
      <c r="L90" s="1104"/>
      <c r="M90" s="1114"/>
    </row>
    <row r="91" spans="2:13" s="1111" customFormat="1" ht="12.75" customHeight="1">
      <c r="B91" s="1079"/>
      <c r="C91" s="1079"/>
      <c r="D91" s="1081" t="s">
        <v>1688</v>
      </c>
      <c r="E91" s="1082" t="s">
        <v>1742</v>
      </c>
      <c r="F91" s="1079"/>
      <c r="G91" s="1079"/>
      <c r="H91" s="1083" t="s">
        <v>519</v>
      </c>
      <c r="I91" s="1082" t="s">
        <v>1751</v>
      </c>
      <c r="J91" s="1079"/>
      <c r="K91" s="1077" t="s">
        <v>134</v>
      </c>
      <c r="L91" s="1104"/>
      <c r="M91" s="1114"/>
    </row>
    <row r="92" spans="2:13" s="1111" customFormat="1" ht="12.75" customHeight="1">
      <c r="B92" s="1079"/>
      <c r="C92" s="1079"/>
      <c r="D92" s="1081" t="s">
        <v>1720</v>
      </c>
      <c r="E92" s="1082" t="s">
        <v>1745</v>
      </c>
      <c r="F92" s="1079"/>
      <c r="G92" s="1079"/>
      <c r="H92" s="1083" t="s">
        <v>519</v>
      </c>
      <c r="I92" s="1082" t="s">
        <v>1753</v>
      </c>
      <c r="J92" s="1079"/>
      <c r="K92" s="1077" t="s">
        <v>134</v>
      </c>
      <c r="L92" s="1104"/>
      <c r="M92" s="1114"/>
    </row>
    <row r="93" spans="2:13" s="1111" customFormat="1" ht="12.75" customHeight="1">
      <c r="B93" s="1079"/>
      <c r="C93" s="1079"/>
      <c r="D93" s="1081" t="s">
        <v>1708</v>
      </c>
      <c r="E93" s="1082" t="s">
        <v>1746</v>
      </c>
      <c r="F93" s="1079"/>
      <c r="G93" s="1079"/>
      <c r="H93" s="1083" t="s">
        <v>519</v>
      </c>
      <c r="I93" s="1088" t="s">
        <v>1755</v>
      </c>
      <c r="J93" s="1079"/>
      <c r="K93" s="1077" t="s">
        <v>134</v>
      </c>
      <c r="L93" s="1104"/>
      <c r="M93" s="1114"/>
    </row>
    <row r="94" spans="2:13" s="1111" customFormat="1" ht="24.75" customHeight="1">
      <c r="B94" s="1079"/>
      <c r="C94" s="1079"/>
      <c r="D94" s="1081" t="s">
        <v>1710</v>
      </c>
      <c r="E94" s="1082" t="s">
        <v>1747</v>
      </c>
      <c r="F94" s="1079"/>
      <c r="G94" s="1079"/>
      <c r="H94" s="1083" t="s">
        <v>519</v>
      </c>
      <c r="I94" s="1094" t="s">
        <v>1756</v>
      </c>
      <c r="J94" s="1079"/>
      <c r="K94" s="1077" t="s">
        <v>134</v>
      </c>
      <c r="L94" s="1104"/>
      <c r="M94" s="1114"/>
    </row>
    <row r="95" spans="2:13" s="1111" customFormat="1" ht="26.25" customHeight="1">
      <c r="B95" s="1079"/>
      <c r="C95" s="1079"/>
      <c r="D95" s="1081" t="s">
        <v>1672</v>
      </c>
      <c r="E95" s="1082" t="s">
        <v>1748</v>
      </c>
      <c r="F95" s="1079"/>
      <c r="G95" s="1079"/>
      <c r="H95" s="1083" t="s">
        <v>519</v>
      </c>
      <c r="I95" s="1094" t="s">
        <v>1757</v>
      </c>
      <c r="J95" s="1079"/>
      <c r="K95" s="1077" t="s">
        <v>134</v>
      </c>
      <c r="L95" s="1104"/>
      <c r="M95" s="1114"/>
    </row>
    <row r="96" spans="2:13" s="1111" customFormat="1" ht="66" customHeight="1">
      <c r="B96" s="1079"/>
      <c r="C96" s="1079"/>
      <c r="D96" s="1081" t="s">
        <v>1712</v>
      </c>
      <c r="E96" s="1082" t="s">
        <v>1750</v>
      </c>
      <c r="F96" s="1079"/>
      <c r="G96" s="1079"/>
      <c r="H96" s="1083" t="s">
        <v>519</v>
      </c>
      <c r="I96" s="1094" t="s">
        <v>2074</v>
      </c>
      <c r="J96" s="1079"/>
      <c r="K96" s="1077"/>
      <c r="L96" s="1104"/>
      <c r="M96" s="1114"/>
    </row>
    <row r="97" spans="1:14" s="1111" customFormat="1" ht="38.25" customHeight="1">
      <c r="B97" s="1079"/>
      <c r="C97" s="1079"/>
      <c r="D97" s="1081" t="s">
        <v>1726</v>
      </c>
      <c r="E97" s="1082" t="s">
        <v>1752</v>
      </c>
      <c r="F97" s="1079"/>
      <c r="G97" s="1079"/>
      <c r="H97" s="1083" t="s">
        <v>519</v>
      </c>
      <c r="I97" s="1094" t="s">
        <v>1758</v>
      </c>
      <c r="J97" s="1079"/>
      <c r="K97" s="1077"/>
      <c r="L97" s="1104"/>
      <c r="M97" s="1114"/>
    </row>
    <row r="98" spans="1:14" s="1111" customFormat="1" ht="24" customHeight="1">
      <c r="B98" s="1079"/>
      <c r="C98" s="1079"/>
      <c r="D98" s="1081" t="s">
        <v>1728</v>
      </c>
      <c r="E98" s="1082" t="s">
        <v>1754</v>
      </c>
      <c r="F98" s="1079"/>
      <c r="G98" s="1079"/>
      <c r="H98" s="1083" t="s">
        <v>519</v>
      </c>
      <c r="I98" s="1105" t="s">
        <v>1759</v>
      </c>
      <c r="J98" s="1079"/>
      <c r="K98" s="1077" t="s">
        <v>134</v>
      </c>
      <c r="L98" s="1104"/>
      <c r="M98" s="1114"/>
    </row>
    <row r="99" spans="1:14" s="1111" customFormat="1" ht="27" hidden="1" customHeight="1">
      <c r="B99" s="1079"/>
      <c r="C99" s="1079"/>
      <c r="D99" s="1081" t="s">
        <v>1730</v>
      </c>
      <c r="E99" s="1082" t="s">
        <v>1623</v>
      </c>
      <c r="F99" s="1079"/>
      <c r="G99" s="1079"/>
      <c r="H99" s="1083" t="s">
        <v>519</v>
      </c>
      <c r="I99" s="1105" t="s">
        <v>540</v>
      </c>
      <c r="J99" s="1079"/>
      <c r="K99" s="1077" t="s">
        <v>134</v>
      </c>
      <c r="L99" s="1104"/>
      <c r="M99" s="1114"/>
    </row>
    <row r="100" spans="1:14" s="1111" customFormat="1" ht="12" customHeight="1">
      <c r="B100" s="1079"/>
      <c r="C100" s="1079"/>
      <c r="D100" s="1081"/>
      <c r="E100" s="1082"/>
      <c r="F100" s="1079"/>
      <c r="G100" s="1079"/>
      <c r="H100" s="1083"/>
      <c r="I100" s="1105"/>
      <c r="J100" s="1079"/>
      <c r="K100" s="1077"/>
      <c r="L100" s="1104"/>
      <c r="M100" s="1114"/>
    </row>
    <row r="101" spans="1:14" s="1111" customFormat="1" ht="12.75" customHeight="1">
      <c r="B101" s="1080">
        <v>26</v>
      </c>
      <c r="C101" s="1080" t="s">
        <v>2068</v>
      </c>
      <c r="D101" s="1081"/>
      <c r="E101" s="1082"/>
      <c r="F101" s="1081"/>
      <c r="G101" s="1082"/>
      <c r="H101" s="1083"/>
      <c r="I101" s="1088"/>
      <c r="J101" s="1079"/>
      <c r="K101" s="1077"/>
      <c r="L101" s="1104"/>
      <c r="M101" s="1114"/>
    </row>
    <row r="102" spans="1:14" s="1111" customFormat="1" ht="12.75" customHeight="1">
      <c r="B102" s="1079"/>
      <c r="C102" s="1079"/>
      <c r="D102" s="1081" t="s">
        <v>520</v>
      </c>
      <c r="E102" s="1082" t="s">
        <v>2069</v>
      </c>
      <c r="F102" s="1081"/>
      <c r="G102" s="1082"/>
      <c r="H102" s="1083" t="s">
        <v>519</v>
      </c>
      <c r="I102" s="1088" t="s">
        <v>541</v>
      </c>
      <c r="J102" s="1079"/>
      <c r="K102" s="1077"/>
      <c r="L102" s="1104"/>
      <c r="M102" s="1114"/>
    </row>
    <row r="103" spans="1:14" s="1111" customFormat="1" ht="12.75" customHeight="1">
      <c r="B103" s="1079"/>
      <c r="C103" s="1079"/>
      <c r="D103" s="1081" t="s">
        <v>521</v>
      </c>
      <c r="E103" s="1082" t="s">
        <v>2070</v>
      </c>
      <c r="F103" s="1081"/>
      <c r="G103" s="1082"/>
      <c r="H103" s="1083" t="s">
        <v>519</v>
      </c>
      <c r="I103" s="1088" t="s">
        <v>1760</v>
      </c>
      <c r="J103" s="1079"/>
      <c r="K103" s="1077" t="s">
        <v>134</v>
      </c>
      <c r="L103" s="1104"/>
      <c r="M103" s="1114"/>
    </row>
    <row r="104" spans="1:14" s="1111" customFormat="1" ht="12.75" customHeight="1">
      <c r="D104" s="1081" t="s">
        <v>1680</v>
      </c>
      <c r="E104" s="1082" t="s">
        <v>2071</v>
      </c>
      <c r="F104" s="1079"/>
      <c r="G104" s="1079"/>
      <c r="H104" s="1083" t="s">
        <v>519</v>
      </c>
      <c r="I104" s="1082" t="s">
        <v>542</v>
      </c>
      <c r="J104" s="1079"/>
      <c r="K104" s="1077" t="s">
        <v>134</v>
      </c>
      <c r="L104" s="1104"/>
      <c r="M104" s="1103" t="s">
        <v>134</v>
      </c>
    </row>
    <row r="105" spans="1:14" s="1111" customFormat="1" ht="12.75" customHeight="1">
      <c r="A105" s="1110"/>
      <c r="B105" s="1110"/>
      <c r="C105" s="1110"/>
      <c r="D105" s="1106" t="s">
        <v>1685</v>
      </c>
      <c r="E105" s="1082" t="s">
        <v>2072</v>
      </c>
      <c r="F105" s="1107"/>
      <c r="G105" s="1107"/>
      <c r="H105" s="1083" t="s">
        <v>519</v>
      </c>
      <c r="I105" s="1108" t="s">
        <v>543</v>
      </c>
      <c r="J105" s="1058"/>
      <c r="K105" s="1077" t="s">
        <v>134</v>
      </c>
      <c r="L105" s="1090"/>
      <c r="M105" s="1103" t="s">
        <v>134</v>
      </c>
      <c r="N105" s="1110"/>
    </row>
    <row r="106" spans="1:14" hidden="1">
      <c r="D106" s="1058"/>
      <c r="E106" s="1058"/>
      <c r="F106" s="1058"/>
      <c r="G106" s="1058"/>
      <c r="H106" s="1058"/>
      <c r="I106" s="1109"/>
      <c r="J106" s="1058"/>
      <c r="K106" s="1058"/>
    </row>
    <row r="107" spans="1:14" hidden="1">
      <c r="D107" s="1058"/>
      <c r="E107" s="1058"/>
      <c r="F107" s="1058"/>
      <c r="G107" s="1058"/>
      <c r="H107" s="1058"/>
      <c r="I107" s="1109"/>
      <c r="J107" s="1058"/>
      <c r="K107" s="1058"/>
    </row>
    <row r="108" spans="1:14" hidden="1">
      <c r="D108" s="1058"/>
      <c r="E108" s="1058"/>
      <c r="F108" s="1058"/>
      <c r="G108" s="1058"/>
      <c r="H108" s="1058"/>
      <c r="I108" s="1109"/>
      <c r="J108" s="1058"/>
      <c r="K108" s="1058"/>
    </row>
    <row r="109" spans="1:14" hidden="1">
      <c r="D109" s="1058"/>
      <c r="E109" s="1058"/>
      <c r="F109" s="1058"/>
      <c r="G109" s="1058"/>
      <c r="H109" s="1058"/>
      <c r="I109" s="1109"/>
      <c r="J109" s="1058"/>
      <c r="K109" s="1058"/>
    </row>
    <row r="110" spans="1:14" hidden="1">
      <c r="D110" s="1058"/>
      <c r="E110" s="1058"/>
      <c r="F110" s="1058"/>
      <c r="G110" s="1058"/>
      <c r="H110" s="1058"/>
      <c r="I110" s="1109"/>
      <c r="J110" s="1058"/>
      <c r="K110" s="1058"/>
    </row>
    <row r="111" spans="1:14" hidden="1">
      <c r="D111" s="1058"/>
      <c r="E111" s="1058"/>
      <c r="F111" s="1058"/>
      <c r="G111" s="1058"/>
      <c r="H111" s="1058"/>
      <c r="I111" s="1109"/>
      <c r="J111" s="1058"/>
      <c r="K111" s="1058"/>
    </row>
    <row r="112" spans="1:14" hidden="1">
      <c r="D112" s="1058"/>
      <c r="E112" s="1058"/>
      <c r="F112" s="1058"/>
      <c r="G112" s="1058"/>
      <c r="H112" s="1058"/>
      <c r="I112" s="1109"/>
      <c r="J112" s="1058"/>
      <c r="K112" s="1058"/>
    </row>
    <row r="113" spans="4:11" hidden="1">
      <c r="D113" s="1058"/>
      <c r="E113" s="1058"/>
      <c r="F113" s="1058"/>
      <c r="G113" s="1058"/>
      <c r="H113" s="1058"/>
      <c r="I113" s="1109"/>
      <c r="J113" s="1058"/>
      <c r="K113" s="1058"/>
    </row>
    <row r="114" spans="4:11" hidden="1">
      <c r="D114" s="1058"/>
      <c r="E114" s="1058"/>
      <c r="F114" s="1058"/>
      <c r="G114" s="1058"/>
      <c r="H114" s="1058"/>
      <c r="I114" s="1109"/>
      <c r="J114" s="1058"/>
      <c r="K114" s="1058"/>
    </row>
    <row r="115" spans="4:11" hidden="1">
      <c r="D115" s="1058"/>
      <c r="E115" s="1058"/>
      <c r="F115" s="1058"/>
      <c r="G115" s="1058"/>
      <c r="H115" s="1058"/>
      <c r="I115" s="1109"/>
      <c r="J115" s="1058"/>
      <c r="K115" s="1058"/>
    </row>
    <row r="116" spans="4:11" hidden="1">
      <c r="D116" s="1058"/>
      <c r="E116" s="1058"/>
      <c r="F116" s="1058"/>
      <c r="G116" s="1058"/>
      <c r="H116" s="1058"/>
      <c r="I116" s="1109"/>
      <c r="J116" s="1058"/>
      <c r="K116" s="1058"/>
    </row>
    <row r="117" spans="4:11" hidden="1">
      <c r="D117" s="1058"/>
      <c r="E117" s="1058"/>
      <c r="F117" s="1058"/>
      <c r="G117" s="1058"/>
      <c r="H117" s="1058"/>
      <c r="I117" s="1109"/>
      <c r="J117" s="1058"/>
      <c r="K117" s="1058"/>
    </row>
    <row r="118" spans="4:11" hidden="1">
      <c r="D118" s="1058"/>
      <c r="E118" s="1058"/>
      <c r="F118" s="1058"/>
      <c r="G118" s="1058"/>
      <c r="H118" s="1058"/>
      <c r="I118" s="1109"/>
      <c r="J118" s="1058"/>
      <c r="K118" s="1058"/>
    </row>
    <row r="119" spans="4:11" hidden="1"/>
    <row r="120" spans="4:11" hidden="1"/>
    <row r="121" spans="4:11" hidden="1"/>
    <row r="122" spans="4:11" hidden="1"/>
    <row r="123" spans="4:11" hidden="1"/>
    <row r="124" spans="4:11" hidden="1"/>
  </sheetData>
  <sheetProtection password="CCBC" sheet="1"/>
  <mergeCells count="4">
    <mergeCell ref="G69:I69"/>
    <mergeCell ref="G70:I70"/>
    <mergeCell ref="G72:I72"/>
    <mergeCell ref="G71:I71"/>
  </mergeCells>
  <phoneticPr fontId="0" type="noConversion"/>
  <pageMargins left="0.25" right="0.25" top="0.75" bottom="0.75" header="0.3" footer="0.3"/>
  <pageSetup scale="74" orientation="landscape" r:id="rId1"/>
  <headerFooter alignWithMargins="0">
    <oddFooter>&amp;C&amp;P of &amp;N</oddFooter>
  </headerFooter>
  <rowBreaks count="1" manualBreakCount="1">
    <brk id="4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1"/>
  <dimension ref="A1:L20"/>
  <sheetViews>
    <sheetView zoomScaleNormal="100" workbookViewId="0">
      <selection activeCell="B5" sqref="B5:L5"/>
    </sheetView>
  </sheetViews>
  <sheetFormatPr baseColWidth="10" defaultColWidth="9.1640625" defaultRowHeight="13"/>
  <cols>
    <col min="1" max="1" width="1.6640625" style="1" customWidth="1"/>
    <col min="2" max="6" width="9.1640625" style="1"/>
    <col min="7" max="7" width="15.5" style="1" customWidth="1"/>
    <col min="8" max="9" width="9.1640625" style="1"/>
    <col min="10" max="10" width="0.5" style="1" customWidth="1"/>
    <col min="11" max="11" width="7.6640625" style="1" customWidth="1"/>
    <col min="12" max="12" width="1.5" style="1" customWidth="1"/>
    <col min="13" max="16384" width="9.1640625" style="1"/>
  </cols>
  <sheetData>
    <row r="1" spans="1:12">
      <c r="A1" s="381" t="s">
        <v>1497</v>
      </c>
      <c r="I1" s="879">
        <f>+Name</f>
        <v>0</v>
      </c>
      <c r="K1" s="879" t="e">
        <f>+Auditor!J1</f>
        <v>#N/A</v>
      </c>
    </row>
    <row r="2" spans="1:12" ht="16">
      <c r="B2" s="735" t="s">
        <v>967</v>
      </c>
      <c r="C2" s="736"/>
      <c r="D2" s="727"/>
      <c r="E2" s="727"/>
      <c r="F2" s="727"/>
      <c r="G2" s="727"/>
      <c r="H2" s="727"/>
      <c r="I2" s="727"/>
      <c r="J2" s="727"/>
      <c r="K2" s="727"/>
      <c r="L2" s="721"/>
    </row>
    <row r="3" spans="1:12">
      <c r="B3" s="644" t="s">
        <v>1563</v>
      </c>
      <c r="C3" s="644"/>
      <c r="D3" s="644"/>
      <c r="E3" s="644"/>
      <c r="F3" s="644"/>
      <c r="G3" s="644"/>
      <c r="H3" s="644"/>
      <c r="I3" s="644"/>
      <c r="J3" s="644"/>
      <c r="K3" s="644"/>
      <c r="L3" s="644"/>
    </row>
    <row r="4" spans="1:12" ht="111.75" customHeight="1">
      <c r="B4" s="1579" t="s">
        <v>2045</v>
      </c>
      <c r="C4" s="1579"/>
      <c r="D4" s="1579"/>
      <c r="E4" s="1579"/>
      <c r="F4" s="1579"/>
      <c r="G4" s="1579"/>
      <c r="H4" s="1579"/>
      <c r="I4" s="1579"/>
      <c r="J4" s="1579"/>
      <c r="K4" s="1579"/>
      <c r="L4" s="1579"/>
    </row>
    <row r="5" spans="1:12" ht="33.75" customHeight="1">
      <c r="B5" s="1579" t="s">
        <v>863</v>
      </c>
      <c r="C5" s="1579"/>
      <c r="D5" s="1579"/>
      <c r="E5" s="1579"/>
      <c r="F5" s="1579"/>
      <c r="G5" s="1579"/>
      <c r="H5" s="1579"/>
      <c r="I5" s="1579"/>
      <c r="J5" s="1579"/>
      <c r="K5" s="1579"/>
      <c r="L5" s="1579"/>
    </row>
    <row r="6" spans="1:12" ht="101.25" customHeight="1">
      <c r="B6" s="1579" t="s">
        <v>2046</v>
      </c>
      <c r="C6" s="1579"/>
      <c r="D6" s="1579"/>
      <c r="E6" s="1579"/>
      <c r="F6" s="1579"/>
      <c r="G6" s="1579"/>
      <c r="H6" s="1579"/>
      <c r="I6" s="1579"/>
      <c r="J6" s="1579"/>
      <c r="K6" s="1579"/>
      <c r="L6" s="1579"/>
    </row>
    <row r="7" spans="1:12" ht="96" customHeight="1">
      <c r="B7" s="1579" t="s">
        <v>2048</v>
      </c>
      <c r="C7" s="1579"/>
      <c r="D7" s="1579"/>
      <c r="E7" s="1579"/>
      <c r="F7" s="1579"/>
      <c r="G7" s="1579"/>
      <c r="H7" s="1579"/>
      <c r="I7" s="1579"/>
      <c r="J7" s="1579"/>
      <c r="K7" s="1579"/>
      <c r="L7" s="1579"/>
    </row>
    <row r="8" spans="1:12" ht="126.75" customHeight="1">
      <c r="B8" s="1579" t="s">
        <v>2047</v>
      </c>
      <c r="C8" s="1579"/>
      <c r="D8" s="1579"/>
      <c r="E8" s="1579"/>
      <c r="F8" s="1579"/>
      <c r="G8" s="1579"/>
      <c r="H8" s="1579"/>
      <c r="I8" s="1579"/>
      <c r="J8" s="1579"/>
      <c r="K8" s="1579"/>
      <c r="L8" s="1579"/>
    </row>
    <row r="9" spans="1:12">
      <c r="B9" s="644"/>
      <c r="C9" s="644"/>
      <c r="D9" s="644"/>
      <c r="E9" s="644"/>
      <c r="F9" s="644"/>
      <c r="G9" s="644"/>
      <c r="H9" s="644"/>
      <c r="I9" s="644"/>
      <c r="J9" s="644"/>
      <c r="K9" s="644"/>
      <c r="L9" s="644"/>
    </row>
    <row r="10" spans="1:12">
      <c r="B10" s="644"/>
      <c r="C10" s="644"/>
      <c r="D10" s="644"/>
      <c r="E10" s="644"/>
      <c r="F10" s="644"/>
      <c r="G10" s="644"/>
      <c r="H10" s="733"/>
      <c r="I10" s="733"/>
      <c r="J10" s="733"/>
      <c r="K10" s="733"/>
      <c r="L10" s="644"/>
    </row>
    <row r="11" spans="1:12">
      <c r="B11" s="644"/>
      <c r="C11" s="644"/>
      <c r="D11" s="644"/>
      <c r="E11" s="644"/>
      <c r="F11" s="644"/>
      <c r="G11" s="644"/>
      <c r="H11" s="734" t="s">
        <v>405</v>
      </c>
      <c r="I11" s="734"/>
      <c r="J11" s="734"/>
      <c r="K11" s="734"/>
      <c r="L11" s="644"/>
    </row>
    <row r="12" spans="1:12">
      <c r="B12" s="644"/>
      <c r="C12" s="644"/>
      <c r="D12" s="644"/>
      <c r="E12" s="644"/>
      <c r="F12" s="644"/>
      <c r="G12" s="644"/>
      <c r="H12" s="644"/>
      <c r="I12" s="644"/>
      <c r="J12" s="644"/>
      <c r="K12" s="644"/>
      <c r="L12" s="644"/>
    </row>
    <row r="13" spans="1:12">
      <c r="B13" s="644"/>
      <c r="C13" s="644" t="s">
        <v>1495</v>
      </c>
      <c r="D13" s="644"/>
      <c r="E13" s="644"/>
      <c r="F13" s="644"/>
      <c r="G13" s="724" t="s">
        <v>1882</v>
      </c>
      <c r="H13" s="725"/>
      <c r="I13" s="725"/>
      <c r="J13" s="725"/>
      <c r="K13" s="725"/>
      <c r="L13" s="644"/>
    </row>
    <row r="14" spans="1:12">
      <c r="B14" s="644"/>
      <c r="C14" s="644"/>
      <c r="D14" s="644"/>
      <c r="E14" s="644"/>
      <c r="F14" s="644"/>
      <c r="G14" s="724"/>
      <c r="H14" s="644"/>
      <c r="I14" s="644"/>
      <c r="J14" s="644"/>
      <c r="K14" s="644"/>
      <c r="L14" s="644"/>
    </row>
    <row r="15" spans="1:12">
      <c r="B15" s="644"/>
      <c r="C15" s="644" t="s">
        <v>1496</v>
      </c>
      <c r="D15" s="644"/>
      <c r="E15" s="644"/>
      <c r="F15" s="644"/>
      <c r="G15" s="724" t="s">
        <v>211</v>
      </c>
      <c r="H15" s="725"/>
      <c r="I15" s="725"/>
      <c r="J15" s="644"/>
      <c r="K15" s="644"/>
      <c r="L15" s="644"/>
    </row>
    <row r="16" spans="1:12">
      <c r="B16" s="644" t="s">
        <v>406</v>
      </c>
      <c r="C16" s="644"/>
      <c r="D16" s="644"/>
      <c r="E16" s="644"/>
      <c r="F16" s="644"/>
      <c r="G16" s="644"/>
      <c r="H16" s="644"/>
      <c r="I16" s="644"/>
      <c r="J16" s="644"/>
      <c r="K16" s="644"/>
      <c r="L16" s="644"/>
    </row>
    <row r="17" spans="2:12">
      <c r="B17" s="644" t="s">
        <v>325</v>
      </c>
      <c r="C17" s="644"/>
      <c r="D17" s="644"/>
      <c r="E17" s="644"/>
      <c r="F17" s="644"/>
      <c r="G17" s="644"/>
      <c r="H17" s="644"/>
      <c r="I17" s="644"/>
      <c r="J17" s="644"/>
      <c r="K17" s="644"/>
      <c r="L17" s="644"/>
    </row>
    <row r="18" spans="2:12">
      <c r="B18" s="644"/>
      <c r="C18" s="644"/>
      <c r="D18" s="644"/>
      <c r="E18" s="644"/>
      <c r="F18" s="644"/>
      <c r="G18" s="644"/>
      <c r="H18" s="644"/>
      <c r="I18" s="644"/>
      <c r="J18" s="644"/>
      <c r="K18" s="644"/>
      <c r="L18" s="644"/>
    </row>
    <row r="19" spans="2:12">
      <c r="B19" s="725"/>
      <c r="C19" s="725"/>
      <c r="D19" s="725"/>
      <c r="E19" s="725"/>
      <c r="F19" s="644"/>
      <c r="G19" s="644"/>
      <c r="H19" s="644"/>
      <c r="I19" s="644"/>
      <c r="J19" s="644"/>
      <c r="K19" s="644"/>
      <c r="L19" s="644"/>
    </row>
    <row r="20" spans="2:12">
      <c r="B20" s="644" t="s">
        <v>408</v>
      </c>
      <c r="C20" s="644"/>
      <c r="D20" s="644"/>
      <c r="E20" s="644"/>
      <c r="F20" s="644"/>
      <c r="G20" s="644"/>
      <c r="H20" s="644"/>
      <c r="I20" s="644"/>
      <c r="J20" s="644"/>
      <c r="K20" s="644"/>
      <c r="L20" s="644"/>
    </row>
  </sheetData>
  <sheetProtection password="CCBC" sheet="1" objects="1" scenarios="1"/>
  <mergeCells count="5">
    <mergeCell ref="B8:L8"/>
    <mergeCell ref="B4:L4"/>
    <mergeCell ref="B5:L5"/>
    <mergeCell ref="B6:L6"/>
    <mergeCell ref="B7:L7"/>
  </mergeCells>
  <phoneticPr fontId="51" type="noConversion"/>
  <pageMargins left="0.75" right="0.75" top="1" bottom="1" header="0.5" footer="0.5"/>
  <pageSetup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dimension ref="A1:I91"/>
  <sheetViews>
    <sheetView zoomScaleNormal="100" workbookViewId="0">
      <selection activeCell="G27" sqref="G27"/>
    </sheetView>
  </sheetViews>
  <sheetFormatPr baseColWidth="10" defaultColWidth="9.1640625" defaultRowHeight="13"/>
  <cols>
    <col min="1" max="1" width="3.83203125" style="190" customWidth="1"/>
    <col min="2" max="2" width="5.6640625" style="190" customWidth="1"/>
    <col min="3" max="3" width="36.6640625" style="190" customWidth="1"/>
    <col min="4" max="5" width="9.1640625" style="190"/>
    <col min="6" max="6" width="3.6640625" style="190" customWidth="1"/>
    <col min="7" max="8" width="12.6640625" style="190" customWidth="1"/>
    <col min="9" max="9" width="3.6640625" style="190" customWidth="1"/>
    <col min="10" max="16384" width="9.1640625" style="190"/>
  </cols>
  <sheetData>
    <row r="1" spans="1:9" ht="14" thickBot="1">
      <c r="A1" s="381" t="s">
        <v>1659</v>
      </c>
      <c r="B1" s="345"/>
      <c r="E1" s="879">
        <f>+Name</f>
        <v>0</v>
      </c>
      <c r="G1" s="374" t="e">
        <f>Cover!$H$6</f>
        <v>#N/A</v>
      </c>
    </row>
    <row r="2" spans="1:9" ht="20" thickTop="1" thickBot="1">
      <c r="B2" s="548" t="s">
        <v>1660</v>
      </c>
      <c r="C2" s="542"/>
      <c r="D2" s="542"/>
      <c r="E2" s="542"/>
      <c r="F2" s="542"/>
      <c r="G2" s="542"/>
      <c r="H2" s="672"/>
      <c r="I2" s="673"/>
    </row>
    <row r="3" spans="1:9" ht="14" thickTop="1"/>
    <row r="4" spans="1:9">
      <c r="B4" s="354" t="s">
        <v>2058</v>
      </c>
      <c r="C4" s="354"/>
      <c r="D4" s="354"/>
      <c r="E4" s="354"/>
      <c r="F4" s="354"/>
      <c r="G4" s="354"/>
      <c r="H4" s="354"/>
      <c r="I4" s="354"/>
    </row>
    <row r="5" spans="1:9">
      <c r="B5" s="354" t="s">
        <v>1661</v>
      </c>
      <c r="C5" s="354"/>
      <c r="D5" s="354"/>
      <c r="E5" s="354"/>
      <c r="F5" s="354"/>
      <c r="G5" s="354"/>
      <c r="H5" s="354"/>
      <c r="I5" s="354"/>
    </row>
    <row r="6" spans="1:9">
      <c r="B6" s="354" t="s">
        <v>1662</v>
      </c>
      <c r="C6" s="354"/>
      <c r="D6" s="354"/>
      <c r="E6" s="354"/>
      <c r="F6" s="354"/>
      <c r="G6" s="354"/>
      <c r="H6" s="354"/>
      <c r="I6" s="354"/>
    </row>
    <row r="7" spans="1:9">
      <c r="B7" s="354"/>
      <c r="D7" s="354"/>
      <c r="E7" s="354"/>
      <c r="F7" s="354"/>
      <c r="G7" s="354"/>
      <c r="H7" s="354"/>
      <c r="I7" s="354"/>
    </row>
    <row r="8" spans="1:9">
      <c r="B8" s="354"/>
      <c r="C8" s="671"/>
      <c r="E8" s="354"/>
      <c r="F8" s="354"/>
      <c r="G8" s="354"/>
      <c r="H8" s="354"/>
      <c r="I8" s="354"/>
    </row>
    <row r="9" spans="1:9">
      <c r="C9" s="543" t="s">
        <v>1663</v>
      </c>
      <c r="D9" s="555"/>
    </row>
    <row r="10" spans="1:9">
      <c r="C10" s="543" t="s">
        <v>1138</v>
      </c>
      <c r="D10" s="555"/>
    </row>
    <row r="12" spans="1:9">
      <c r="C12" s="190" t="s">
        <v>1340</v>
      </c>
    </row>
    <row r="14" spans="1:9">
      <c r="B14" s="190" t="s">
        <v>1341</v>
      </c>
      <c r="F14" s="674"/>
      <c r="G14" s="674"/>
      <c r="H14" s="674"/>
      <c r="I14" s="674"/>
    </row>
    <row r="15" spans="1:9">
      <c r="E15" s="675"/>
      <c r="F15" s="675"/>
      <c r="G15" s="675"/>
      <c r="H15" s="675"/>
      <c r="I15" s="675"/>
    </row>
    <row r="16" spans="1:9">
      <c r="C16" s="1588">
        <f>+'Primary Input'!E11</f>
        <v>0</v>
      </c>
      <c r="D16" s="1588"/>
      <c r="E16" s="1588"/>
      <c r="F16" s="1588"/>
      <c r="G16" s="1588"/>
      <c r="H16" s="1588"/>
      <c r="I16" s="675"/>
    </row>
    <row r="17" spans="2:9">
      <c r="E17" s="675"/>
      <c r="F17" s="675"/>
      <c r="G17" s="675"/>
      <c r="H17" s="675"/>
      <c r="I17" s="675"/>
    </row>
    <row r="18" spans="2:9">
      <c r="B18" s="190" t="s">
        <v>1342</v>
      </c>
      <c r="F18" s="676"/>
      <c r="G18" s="676"/>
      <c r="H18" s="676"/>
      <c r="I18" s="676"/>
    </row>
    <row r="19" spans="2:9">
      <c r="E19" s="676"/>
      <c r="F19" s="676"/>
      <c r="G19" s="676"/>
      <c r="H19" s="676"/>
      <c r="I19" s="676"/>
    </row>
    <row r="20" spans="2:9">
      <c r="C20" s="1589">
        <f>+'Primary Input'!E26</f>
        <v>0</v>
      </c>
      <c r="D20" s="1590"/>
      <c r="E20" s="1590"/>
      <c r="F20" s="1590"/>
      <c r="G20" s="1590"/>
      <c r="H20" s="1591"/>
      <c r="I20" s="676"/>
    </row>
    <row r="22" spans="2:9">
      <c r="B22" s="190" t="s">
        <v>1765</v>
      </c>
      <c r="H22" s="674"/>
      <c r="I22" s="674"/>
    </row>
    <row r="24" spans="2:9">
      <c r="C24" s="1592"/>
      <c r="D24" s="1593"/>
      <c r="E24" s="1593"/>
      <c r="F24" s="1593"/>
      <c r="G24" s="1593"/>
      <c r="H24" s="1594"/>
    </row>
    <row r="26" spans="2:9">
      <c r="B26" s="364" t="s">
        <v>1766</v>
      </c>
      <c r="C26" s="544"/>
    </row>
    <row r="28" spans="2:9">
      <c r="C28" s="364" t="s">
        <v>1767</v>
      </c>
      <c r="D28" s="545">
        <v>1E-4</v>
      </c>
    </row>
    <row r="30" spans="2:9">
      <c r="B30" s="190" t="s">
        <v>409</v>
      </c>
    </row>
    <row r="32" spans="2:9">
      <c r="B32" s="354" t="s">
        <v>1768</v>
      </c>
      <c r="C32" s="354"/>
      <c r="D32" s="354"/>
      <c r="E32" s="354"/>
      <c r="F32" s="354"/>
      <c r="G32" s="354"/>
      <c r="H32" s="354"/>
      <c r="I32" s="354"/>
    </row>
    <row r="33" spans="2:9">
      <c r="B33" s="354" t="s">
        <v>1769</v>
      </c>
      <c r="C33" s="354"/>
      <c r="D33" s="354"/>
      <c r="E33" s="354"/>
      <c r="F33" s="354"/>
      <c r="G33" s="354"/>
      <c r="H33" s="354"/>
      <c r="I33" s="354"/>
    </row>
    <row r="34" spans="2:9">
      <c r="B34" s="354" t="s">
        <v>1031</v>
      </c>
      <c r="C34" s="677"/>
      <c r="D34" s="677"/>
      <c r="E34" s="677"/>
      <c r="F34" s="677"/>
      <c r="G34" s="677"/>
      <c r="H34" s="677"/>
      <c r="I34" s="677"/>
    </row>
    <row r="35" spans="2:9">
      <c r="G35" s="442" t="s">
        <v>1190</v>
      </c>
      <c r="H35" s="442"/>
    </row>
    <row r="36" spans="2:9">
      <c r="C36" s="442" t="s">
        <v>1032</v>
      </c>
      <c r="G36" s="442" t="s">
        <v>681</v>
      </c>
      <c r="H36" s="442" t="s">
        <v>411</v>
      </c>
    </row>
    <row r="38" spans="2:9" ht="12.75" customHeight="1">
      <c r="C38" s="1585"/>
      <c r="D38" s="1586"/>
      <c r="E38" s="1587"/>
      <c r="F38" s="671"/>
      <c r="G38" s="546"/>
      <c r="H38" s="547"/>
    </row>
    <row r="39" spans="2:9">
      <c r="C39" s="678"/>
      <c r="D39" s="671"/>
      <c r="F39" s="671"/>
      <c r="G39" s="679"/>
      <c r="H39" s="678"/>
    </row>
    <row r="40" spans="2:9">
      <c r="C40" s="1585"/>
      <c r="D40" s="1586"/>
      <c r="E40" s="1587"/>
      <c r="F40" s="671"/>
      <c r="G40" s="546"/>
      <c r="H40" s="547"/>
    </row>
    <row r="41" spans="2:9">
      <c r="C41" s="678"/>
      <c r="D41" s="671"/>
      <c r="F41" s="671"/>
      <c r="G41" s="679"/>
      <c r="H41" s="678"/>
    </row>
    <row r="42" spans="2:9">
      <c r="C42" s="1585"/>
      <c r="D42" s="1586"/>
      <c r="E42" s="1587"/>
      <c r="F42" s="671"/>
      <c r="G42" s="546"/>
      <c r="H42" s="547"/>
    </row>
    <row r="45" spans="2:9">
      <c r="B45" s="190" t="s">
        <v>410</v>
      </c>
    </row>
    <row r="47" spans="2:9">
      <c r="B47" s="354" t="s">
        <v>1033</v>
      </c>
      <c r="C47" s="354"/>
      <c r="D47" s="354"/>
      <c r="E47" s="354"/>
      <c r="F47" s="354"/>
      <c r="G47" s="354"/>
      <c r="H47" s="354"/>
      <c r="I47" s="354"/>
    </row>
    <row r="48" spans="2:9">
      <c r="B48" s="354" t="s">
        <v>2059</v>
      </c>
      <c r="C48" s="354"/>
      <c r="D48" s="354"/>
      <c r="E48" s="354"/>
      <c r="F48" s="354"/>
      <c r="G48" s="354"/>
      <c r="H48" s="354"/>
      <c r="I48" s="354"/>
    </row>
    <row r="49" spans="2:9">
      <c r="B49" s="354" t="s">
        <v>1282</v>
      </c>
      <c r="C49" s="354"/>
      <c r="D49" s="354"/>
      <c r="E49" s="354"/>
      <c r="F49" s="354"/>
      <c r="G49" s="354"/>
      <c r="H49" s="354"/>
      <c r="I49" s="354"/>
    </row>
    <row r="50" spans="2:9">
      <c r="B50" s="354" t="s">
        <v>1187</v>
      </c>
      <c r="C50" s="354"/>
      <c r="D50" s="354"/>
      <c r="E50" s="354"/>
      <c r="F50" s="354"/>
      <c r="G50" s="354"/>
      <c r="H50" s="354"/>
      <c r="I50" s="354"/>
    </row>
    <row r="51" spans="2:9">
      <c r="B51" s="354" t="s">
        <v>1781</v>
      </c>
      <c r="C51" s="354"/>
      <c r="D51" s="354"/>
      <c r="E51" s="354"/>
      <c r="F51" s="354"/>
      <c r="G51" s="354"/>
      <c r="H51" s="354"/>
      <c r="I51" s="354"/>
    </row>
    <row r="52" spans="2:9">
      <c r="B52" s="354" t="s">
        <v>613</v>
      </c>
      <c r="C52" s="354"/>
      <c r="D52" s="354"/>
      <c r="E52" s="354"/>
      <c r="F52" s="354"/>
      <c r="G52" s="354"/>
      <c r="H52" s="354"/>
      <c r="I52" s="354"/>
    </row>
    <row r="53" spans="2:9">
      <c r="B53" s="354" t="s">
        <v>2060</v>
      </c>
      <c r="C53" s="677"/>
      <c r="D53" s="677"/>
      <c r="E53" s="677"/>
      <c r="F53" s="677"/>
      <c r="G53" s="677"/>
      <c r="H53" s="677"/>
      <c r="I53" s="677"/>
    </row>
    <row r="55" spans="2:9">
      <c r="B55" s="540" t="s">
        <v>414</v>
      </c>
    </row>
    <row r="57" spans="2:9">
      <c r="B57" s="541" t="s">
        <v>1024</v>
      </c>
      <c r="C57" s="1584"/>
      <c r="D57" s="1584"/>
      <c r="E57" s="1584"/>
      <c r="F57" s="1584"/>
      <c r="G57" s="1584"/>
      <c r="H57" s="1584"/>
      <c r="I57" s="680"/>
    </row>
    <row r="58" spans="2:9">
      <c r="B58" s="541" t="s">
        <v>1025</v>
      </c>
      <c r="C58" s="1584"/>
      <c r="D58" s="1584"/>
      <c r="E58" s="1584"/>
      <c r="F58" s="1584"/>
      <c r="G58" s="1584"/>
      <c r="H58" s="1584"/>
      <c r="I58" s="680"/>
    </row>
    <row r="59" spans="2:9">
      <c r="B59" s="541" t="s">
        <v>713</v>
      </c>
      <c r="C59" s="1584"/>
      <c r="D59" s="1584"/>
      <c r="E59" s="1584"/>
      <c r="F59" s="1584"/>
      <c r="G59" s="1584"/>
      <c r="H59" s="1584"/>
      <c r="I59" s="680"/>
    </row>
    <row r="60" spans="2:9">
      <c r="B60" s="541" t="s">
        <v>714</v>
      </c>
      <c r="C60" s="1584"/>
      <c r="D60" s="1584"/>
      <c r="E60" s="1584"/>
      <c r="F60" s="1584"/>
      <c r="G60" s="1584"/>
      <c r="H60" s="1584"/>
      <c r="I60" s="680"/>
    </row>
    <row r="61" spans="2:9">
      <c r="B61" s="541" t="s">
        <v>715</v>
      </c>
      <c r="C61" s="1584"/>
      <c r="D61" s="1584"/>
      <c r="E61" s="1584"/>
      <c r="F61" s="1584"/>
      <c r="G61" s="1584"/>
      <c r="H61" s="1584"/>
      <c r="I61" s="680"/>
    </row>
    <row r="62" spans="2:9">
      <c r="D62" s="196"/>
      <c r="E62" s="196"/>
      <c r="F62" s="196"/>
      <c r="G62" s="196"/>
      <c r="H62" s="196"/>
      <c r="I62" s="196"/>
    </row>
    <row r="63" spans="2:9">
      <c r="B63" s="540" t="s">
        <v>716</v>
      </c>
      <c r="D63" s="196"/>
      <c r="E63" s="196"/>
      <c r="F63" s="196"/>
      <c r="G63" s="196"/>
      <c r="H63" s="196"/>
      <c r="I63" s="196"/>
    </row>
    <row r="64" spans="2:9">
      <c r="D64" s="196"/>
      <c r="E64" s="196"/>
      <c r="F64" s="196"/>
      <c r="G64" s="196"/>
      <c r="H64" s="196"/>
      <c r="I64" s="196"/>
    </row>
    <row r="65" spans="2:9">
      <c r="B65" s="541" t="s">
        <v>1024</v>
      </c>
      <c r="C65" s="1584"/>
      <c r="D65" s="1584"/>
      <c r="E65" s="1584"/>
      <c r="F65" s="1584"/>
      <c r="G65" s="1584"/>
      <c r="H65" s="1584"/>
      <c r="I65" s="680"/>
    </row>
    <row r="66" spans="2:9">
      <c r="B66" s="541" t="s">
        <v>1025</v>
      </c>
      <c r="C66" s="1584"/>
      <c r="D66" s="1584"/>
      <c r="E66" s="1584"/>
      <c r="F66" s="1584"/>
      <c r="G66" s="1584"/>
      <c r="H66" s="1584"/>
      <c r="I66" s="680"/>
    </row>
    <row r="67" spans="2:9">
      <c r="B67" s="541" t="s">
        <v>713</v>
      </c>
      <c r="C67" s="1584"/>
      <c r="D67" s="1584"/>
      <c r="E67" s="1584"/>
      <c r="F67" s="1584"/>
      <c r="G67" s="1584"/>
      <c r="H67" s="1584"/>
      <c r="I67" s="680"/>
    </row>
    <row r="68" spans="2:9">
      <c r="B68" s="541" t="s">
        <v>714</v>
      </c>
      <c r="C68" s="1584"/>
      <c r="D68" s="1584"/>
      <c r="E68" s="1584"/>
      <c r="F68" s="1584"/>
      <c r="G68" s="1584"/>
      <c r="H68" s="1584"/>
      <c r="I68" s="680"/>
    </row>
    <row r="69" spans="2:9">
      <c r="B69" s="541" t="s">
        <v>715</v>
      </c>
      <c r="C69" s="1584"/>
      <c r="D69" s="1584"/>
      <c r="E69" s="1584"/>
      <c r="F69" s="1584"/>
      <c r="G69" s="1584"/>
      <c r="H69" s="1584"/>
      <c r="I69" s="680"/>
    </row>
    <row r="71" spans="2:9">
      <c r="B71" s="354" t="s">
        <v>1885</v>
      </c>
      <c r="C71" s="354"/>
      <c r="D71" s="354"/>
      <c r="E71" s="354"/>
      <c r="F71" s="354"/>
      <c r="G71" s="354"/>
      <c r="H71" s="354"/>
      <c r="I71" s="354"/>
    </row>
    <row r="72" spans="2:9">
      <c r="B72" s="354" t="s">
        <v>1630</v>
      </c>
      <c r="C72" s="354"/>
      <c r="D72" s="354"/>
      <c r="E72" s="354"/>
      <c r="F72" s="354"/>
      <c r="G72" s="354"/>
      <c r="H72" s="354"/>
      <c r="I72" s="354"/>
    </row>
    <row r="73" spans="2:9">
      <c r="B73" s="354" t="s">
        <v>305</v>
      </c>
      <c r="C73" s="354"/>
      <c r="D73" s="354"/>
      <c r="E73" s="354"/>
      <c r="F73" s="639"/>
      <c r="G73" s="639"/>
      <c r="H73" s="354"/>
      <c r="I73" s="354"/>
    </row>
    <row r="74" spans="2:9">
      <c r="B74" s="354" t="s">
        <v>438</v>
      </c>
      <c r="C74" s="677"/>
      <c r="D74" s="677"/>
      <c r="E74" s="677"/>
      <c r="F74" s="677"/>
      <c r="G74" s="677"/>
      <c r="H74" s="677"/>
      <c r="I74" s="677"/>
    </row>
    <row r="75" spans="2:9">
      <c r="B75" s="354" t="s">
        <v>690</v>
      </c>
      <c r="C75" s="677"/>
      <c r="D75" s="677"/>
      <c r="E75" s="677"/>
      <c r="F75" s="677"/>
      <c r="G75" s="677"/>
      <c r="H75" s="677"/>
      <c r="I75" s="677"/>
    </row>
    <row r="76" spans="2:9">
      <c r="B76" s="354" t="s">
        <v>1010</v>
      </c>
      <c r="C76" s="677"/>
      <c r="D76" s="677"/>
      <c r="E76" s="677"/>
      <c r="F76" s="677"/>
      <c r="G76" s="677"/>
      <c r="H76" s="677"/>
      <c r="I76" s="677"/>
    </row>
    <row r="77" spans="2:9">
      <c r="B77" s="354" t="s">
        <v>2061</v>
      </c>
      <c r="C77" s="677"/>
      <c r="D77" s="677"/>
      <c r="E77" s="677"/>
      <c r="F77" s="677"/>
      <c r="G77" s="677"/>
      <c r="H77" s="677"/>
      <c r="I77" s="677"/>
    </row>
    <row r="78" spans="2:9">
      <c r="B78" s="354"/>
      <c r="C78" s="677"/>
      <c r="D78" s="677"/>
      <c r="E78" s="677"/>
      <c r="F78" s="677"/>
      <c r="G78" s="677"/>
      <c r="H78" s="677"/>
      <c r="I78" s="677"/>
    </row>
    <row r="79" spans="2:9">
      <c r="B79" s="190" t="s">
        <v>1011</v>
      </c>
    </row>
    <row r="81" spans="2:9">
      <c r="C81" s="1580" t="s">
        <v>1188</v>
      </c>
      <c r="D81" s="1581"/>
    </row>
    <row r="82" spans="2:9">
      <c r="C82" s="1582"/>
      <c r="D82" s="1583"/>
      <c r="F82" s="528"/>
      <c r="G82" s="528"/>
      <c r="H82" s="528"/>
    </row>
    <row r="83" spans="2:9">
      <c r="G83" s="190" t="s">
        <v>405</v>
      </c>
    </row>
    <row r="86" spans="2:9">
      <c r="E86" s="364" t="s">
        <v>1882</v>
      </c>
      <c r="F86" s="239"/>
      <c r="G86" s="239"/>
      <c r="H86" s="239"/>
    </row>
    <row r="87" spans="2:9">
      <c r="B87" s="190" t="s">
        <v>406</v>
      </c>
    </row>
    <row r="88" spans="2:9">
      <c r="B88" s="190" t="s">
        <v>407</v>
      </c>
    </row>
    <row r="89" spans="2:9">
      <c r="I89" s="441" t="s">
        <v>1188</v>
      </c>
    </row>
    <row r="90" spans="2:9">
      <c r="B90" s="239"/>
      <c r="C90" s="239"/>
      <c r="D90" s="122"/>
      <c r="E90" s="122"/>
      <c r="I90" s="441" t="s">
        <v>1189</v>
      </c>
    </row>
    <row r="91" spans="2:9">
      <c r="B91" s="190" t="s">
        <v>408</v>
      </c>
    </row>
  </sheetData>
  <sheetProtection password="CCBC" sheet="1" objects="1" scenarios="1"/>
  <mergeCells count="17">
    <mergeCell ref="C40:E40"/>
    <mergeCell ref="C16:H16"/>
    <mergeCell ref="C20:H20"/>
    <mergeCell ref="C24:H24"/>
    <mergeCell ref="C38:E38"/>
    <mergeCell ref="C81:D82"/>
    <mergeCell ref="C61:H61"/>
    <mergeCell ref="C42:E42"/>
    <mergeCell ref="C57:H57"/>
    <mergeCell ref="C58:H58"/>
    <mergeCell ref="C59:H59"/>
    <mergeCell ref="C60:H60"/>
    <mergeCell ref="C69:H69"/>
    <mergeCell ref="C65:H65"/>
    <mergeCell ref="C66:H66"/>
    <mergeCell ref="C67:H67"/>
    <mergeCell ref="C68:H68"/>
  </mergeCells>
  <phoneticPr fontId="51" type="noConversion"/>
  <dataValidations count="2">
    <dataValidation type="custom" allowBlank="1" showInputMessage="1" showErrorMessage="1" sqref="B84:E85 B81 E81:G81" xr:uid="{00000000-0002-0000-1700-000000000000}">
      <formula1>""</formula1>
    </dataValidation>
    <dataValidation type="list" allowBlank="1" showInputMessage="1" showErrorMessage="1" sqref="C81:D82" xr:uid="{00000000-0002-0000-1700-000001000000}">
      <formula1>$I$89:$I$90</formula1>
    </dataValidation>
  </dataValidations>
  <printOptions horizontalCentered="1"/>
  <pageMargins left="0.75" right="0.75" top="1" bottom="1" header="0.5" footer="0.5"/>
  <pageSetup scale="92" orientation="portrait" horizontalDpi="360" verticalDpi="360" r:id="rId1"/>
  <headerFooter alignWithMargins="0"/>
  <rowBreaks count="1" manualBreakCount="1">
    <brk id="54" max="8"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dimension ref="A1:K58"/>
  <sheetViews>
    <sheetView topLeftCell="A22" zoomScaleNormal="100" workbookViewId="0">
      <selection activeCell="L5" sqref="L5"/>
    </sheetView>
  </sheetViews>
  <sheetFormatPr baseColWidth="10" defaultColWidth="9.1640625" defaultRowHeight="11"/>
  <cols>
    <col min="1" max="2" width="3.6640625" style="348" customWidth="1"/>
    <col min="3" max="3" width="5.6640625" style="348" customWidth="1"/>
    <col min="4" max="6" width="9.1640625" style="348"/>
    <col min="7" max="7" width="12.6640625" style="348" customWidth="1"/>
    <col min="8" max="8" width="4.6640625" style="348" customWidth="1"/>
    <col min="9" max="9" width="12.6640625" style="348" customWidth="1"/>
    <col min="10" max="10" width="3.6640625" style="348" customWidth="1"/>
    <col min="11" max="11" width="9.1640625" style="348"/>
    <col min="12" max="12" width="3.6640625" style="348" customWidth="1"/>
    <col min="13" max="16384" width="9.1640625" style="348"/>
  </cols>
  <sheetData>
    <row r="1" spans="1:11" ht="14" thickBot="1">
      <c r="A1" s="381" t="s">
        <v>2003</v>
      </c>
      <c r="B1" s="349"/>
      <c r="G1" s="879">
        <f>+Name</f>
        <v>0</v>
      </c>
      <c r="I1" s="374" t="e">
        <f>Cover!$H$6</f>
        <v>#N/A</v>
      </c>
    </row>
    <row r="2" spans="1:11" ht="15" thickTop="1" thickBot="1">
      <c r="B2" s="557" t="s">
        <v>2004</v>
      </c>
      <c r="C2" s="558"/>
      <c r="D2" s="558"/>
      <c r="E2" s="558"/>
      <c r="F2" s="558"/>
      <c r="G2" s="558"/>
      <c r="H2" s="558"/>
      <c r="I2" s="558"/>
      <c r="J2" s="558"/>
      <c r="K2" s="559"/>
    </row>
    <row r="3" spans="1:11" ht="12" thickTop="1"/>
    <row r="4" spans="1:11" ht="13">
      <c r="B4" s="364" t="s">
        <v>310</v>
      </c>
      <c r="C4" s="190" t="s">
        <v>18</v>
      </c>
    </row>
    <row r="6" spans="1:11">
      <c r="C6" s="352" t="s">
        <v>2005</v>
      </c>
      <c r="D6" s="348" t="s">
        <v>2006</v>
      </c>
    </row>
    <row r="7" spans="1:11">
      <c r="D7" s="241"/>
      <c r="E7" s="348" t="s">
        <v>2007</v>
      </c>
    </row>
    <row r="8" spans="1:11">
      <c r="D8" s="241"/>
      <c r="E8" s="348" t="s">
        <v>2008</v>
      </c>
    </row>
    <row r="9" spans="1:11">
      <c r="D9" s="241"/>
      <c r="E9" s="348" t="s">
        <v>2009</v>
      </c>
    </row>
    <row r="11" spans="1:11" ht="13">
      <c r="C11" s="364" t="s">
        <v>2010</v>
      </c>
      <c r="D11" s="190" t="s">
        <v>1621</v>
      </c>
    </row>
    <row r="12" spans="1:11">
      <c r="D12" s="352"/>
      <c r="E12" s="348" t="s">
        <v>1622</v>
      </c>
      <c r="G12" s="560"/>
    </row>
    <row r="13" spans="1:11">
      <c r="E13" s="348" t="s">
        <v>1210</v>
      </c>
      <c r="G13" s="561"/>
    </row>
    <row r="14" spans="1:11">
      <c r="E14" s="348" t="s">
        <v>981</v>
      </c>
      <c r="G14" s="562">
        <f>+G12+G13</f>
        <v>0</v>
      </c>
    </row>
    <row r="15" spans="1:11">
      <c r="E15" s="348" t="s">
        <v>982</v>
      </c>
      <c r="G15" s="560" t="s">
        <v>1563</v>
      </c>
    </row>
    <row r="17" spans="3:9">
      <c r="E17" s="348" t="s">
        <v>983</v>
      </c>
      <c r="G17" s="403"/>
      <c r="H17" s="348" t="s">
        <v>984</v>
      </c>
    </row>
    <row r="18" spans="3:9">
      <c r="E18" s="348" t="s">
        <v>985</v>
      </c>
      <c r="G18" s="563">
        <f>IF(G17&lt;&gt;0, G14/G17, 0)</f>
        <v>0</v>
      </c>
    </row>
    <row r="19" spans="3:9">
      <c r="E19" s="348" t="s">
        <v>986</v>
      </c>
      <c r="G19" s="564"/>
    </row>
    <row r="21" spans="3:9" ht="13">
      <c r="C21" s="364" t="s">
        <v>987</v>
      </c>
      <c r="D21" s="190" t="s">
        <v>988</v>
      </c>
    </row>
    <row r="22" spans="3:9">
      <c r="E22" s="348" t="s">
        <v>989</v>
      </c>
      <c r="G22" s="560"/>
    </row>
    <row r="23" spans="3:9">
      <c r="E23" s="348" t="s">
        <v>1210</v>
      </c>
      <c r="G23" s="560"/>
    </row>
    <row r="24" spans="3:9">
      <c r="E24" s="348" t="s">
        <v>981</v>
      </c>
      <c r="G24" s="562">
        <f>+G22+G23</f>
        <v>0</v>
      </c>
    </row>
    <row r="25" spans="3:9">
      <c r="E25" s="348" t="s">
        <v>982</v>
      </c>
      <c r="G25" s="560"/>
    </row>
    <row r="27" spans="3:9">
      <c r="E27" s="348" t="s">
        <v>983</v>
      </c>
      <c r="G27" s="403"/>
      <c r="H27" s="348" t="s">
        <v>984</v>
      </c>
    </row>
    <row r="28" spans="3:9">
      <c r="E28" s="348" t="s">
        <v>985</v>
      </c>
      <c r="G28" s="563">
        <f>IF(G27&lt;&gt;0, G24/G27, 0)</f>
        <v>0</v>
      </c>
    </row>
    <row r="29" spans="3:9">
      <c r="E29" s="348" t="s">
        <v>990</v>
      </c>
      <c r="G29" s="564"/>
    </row>
    <row r="31" spans="3:9" ht="13">
      <c r="C31" s="364" t="s">
        <v>991</v>
      </c>
      <c r="D31" s="190" t="s">
        <v>992</v>
      </c>
    </row>
    <row r="32" spans="3:9">
      <c r="E32" s="348" t="s">
        <v>993</v>
      </c>
      <c r="I32" s="560"/>
    </row>
    <row r="33" spans="2:10">
      <c r="E33" s="348" t="s">
        <v>396</v>
      </c>
      <c r="I33" s="560"/>
      <c r="J33" s="348" t="s">
        <v>397</v>
      </c>
    </row>
    <row r="34" spans="2:10">
      <c r="E34" s="348" t="s">
        <v>398</v>
      </c>
      <c r="I34" s="565"/>
      <c r="J34" s="348" t="s">
        <v>399</v>
      </c>
    </row>
    <row r="35" spans="2:10">
      <c r="E35" s="348" t="s">
        <v>400</v>
      </c>
      <c r="I35" s="565"/>
      <c r="J35" s="348" t="s">
        <v>399</v>
      </c>
    </row>
    <row r="36" spans="2:10">
      <c r="E36" s="348" t="s">
        <v>983</v>
      </c>
      <c r="I36" s="403">
        <v>0</v>
      </c>
      <c r="J36" s="348" t="s">
        <v>984</v>
      </c>
    </row>
    <row r="37" spans="2:10">
      <c r="E37" s="348" t="s">
        <v>985</v>
      </c>
      <c r="I37" s="563">
        <f>IF(I36&lt;&gt;0, (I32+(I33*I35))/I36, 0)</f>
        <v>0</v>
      </c>
    </row>
    <row r="38" spans="2:10">
      <c r="E38" s="348" t="s">
        <v>401</v>
      </c>
      <c r="I38" s="564"/>
    </row>
    <row r="40" spans="2:10">
      <c r="D40" s="352" t="s">
        <v>397</v>
      </c>
      <c r="E40" s="348" t="s">
        <v>415</v>
      </c>
    </row>
    <row r="41" spans="2:10">
      <c r="E41" s="348" t="s">
        <v>1839</v>
      </c>
    </row>
    <row r="43" spans="2:10" ht="13">
      <c r="C43" s="364" t="s">
        <v>1840</v>
      </c>
      <c r="D43" s="190" t="s">
        <v>1335</v>
      </c>
    </row>
    <row r="45" spans="2:10" ht="13">
      <c r="B45" s="364" t="s">
        <v>711</v>
      </c>
      <c r="C45" s="190" t="s">
        <v>1336</v>
      </c>
    </row>
    <row r="47" spans="2:10">
      <c r="C47" s="352" t="s">
        <v>2005</v>
      </c>
      <c r="D47" s="348" t="s">
        <v>1337</v>
      </c>
      <c r="I47" s="556"/>
    </row>
    <row r="49" spans="2:11">
      <c r="C49" s="352" t="s">
        <v>2010</v>
      </c>
      <c r="D49" s="348" t="s">
        <v>618</v>
      </c>
    </row>
    <row r="51" spans="2:11">
      <c r="E51" s="348" t="s">
        <v>1515</v>
      </c>
      <c r="F51" s="1504"/>
      <c r="G51" s="1504"/>
    </row>
    <row r="52" spans="2:11">
      <c r="E52" s="348" t="s">
        <v>619</v>
      </c>
      <c r="F52" s="1504"/>
      <c r="G52" s="1504"/>
    </row>
    <row r="53" spans="2:11">
      <c r="E53" s="348" t="s">
        <v>620</v>
      </c>
      <c r="F53" s="1504"/>
      <c r="G53" s="1504"/>
      <c r="H53" s="348" t="s">
        <v>621</v>
      </c>
      <c r="I53" s="556"/>
      <c r="J53" s="350" t="s">
        <v>622</v>
      </c>
      <c r="K53" s="556"/>
    </row>
    <row r="54" spans="2:11">
      <c r="E54" s="348" t="s">
        <v>1766</v>
      </c>
      <c r="F54" s="1595"/>
      <c r="G54" s="1595"/>
      <c r="H54" s="348" t="s">
        <v>623</v>
      </c>
      <c r="I54" s="681"/>
    </row>
    <row r="56" spans="2:11" ht="13">
      <c r="B56" s="364" t="s">
        <v>687</v>
      </c>
      <c r="C56" s="345" t="s">
        <v>1209</v>
      </c>
    </row>
    <row r="58" spans="2:11">
      <c r="C58" s="352"/>
    </row>
  </sheetData>
  <sheetProtection password="CCBC" sheet="1" objects="1" scenarios="1"/>
  <mergeCells count="4">
    <mergeCell ref="F54:G54"/>
    <mergeCell ref="F51:G51"/>
    <mergeCell ref="F52:G52"/>
    <mergeCell ref="F53:G53"/>
  </mergeCells>
  <phoneticPr fontId="51" type="noConversion"/>
  <dataValidations count="1">
    <dataValidation type="whole" allowBlank="1" showInputMessage="1" showErrorMessage="1" errorTitle="Inproper Input" error="The number must be a phone number.  Be sure to include the area code." promptTitle="Input Information:" prompt="Please input the phone number.  Use all numbers (the computer will insert parenthesis and hyphens as appropriate)." sqref="F54 H54:I54" xr:uid="{00000000-0002-0000-1800-000000000000}">
      <formula1>1000000000</formula1>
      <formula2>9999999999</formula2>
    </dataValidation>
  </dataValidations>
  <pageMargins left="0.75" right="0.75" top="1" bottom="1" header="0.5" footer="0.5"/>
  <pageSetup scale="99" orientation="portrait" horizontalDpi="360" verticalDpi="360"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dimension ref="A1:J53"/>
  <sheetViews>
    <sheetView topLeftCell="A28" zoomScaleNormal="100" workbookViewId="0">
      <selection activeCell="L5" sqref="L5"/>
    </sheetView>
  </sheetViews>
  <sheetFormatPr baseColWidth="10" defaultColWidth="9.1640625" defaultRowHeight="13"/>
  <cols>
    <col min="1" max="1" width="3.6640625" style="190" customWidth="1"/>
    <col min="2" max="5" width="9.1640625" style="190"/>
    <col min="6" max="6" width="15.6640625" style="190" customWidth="1"/>
    <col min="7" max="8" width="9.1640625" style="190"/>
    <col min="9" max="9" width="3.6640625" style="190" customWidth="1"/>
    <col min="10" max="10" width="12" style="190" customWidth="1"/>
    <col min="11" max="11" width="3.6640625" style="190" customWidth="1"/>
    <col min="12" max="16384" width="9.1640625" style="190"/>
  </cols>
  <sheetData>
    <row r="1" spans="1:10">
      <c r="A1" s="381" t="s">
        <v>306</v>
      </c>
      <c r="H1" s="879">
        <f>+Name</f>
        <v>0</v>
      </c>
      <c r="J1" s="374" t="e">
        <f>Cover!$H$6</f>
        <v>#N/A</v>
      </c>
    </row>
    <row r="2" spans="1:10" ht="14" thickBot="1">
      <c r="B2" s="345"/>
    </row>
    <row r="3" spans="1:10" ht="20" thickTop="1" thickBot="1">
      <c r="B3" s="548" t="s">
        <v>307</v>
      </c>
      <c r="C3" s="542"/>
      <c r="D3" s="682"/>
      <c r="E3" s="682"/>
      <c r="F3" s="682"/>
      <c r="G3" s="682"/>
      <c r="H3" s="682"/>
      <c r="I3" s="682"/>
      <c r="J3" s="683"/>
    </row>
    <row r="4" spans="1:10" ht="14" thickTop="1"/>
    <row r="5" spans="1:10">
      <c r="B5" s="354" t="s">
        <v>308</v>
      </c>
      <c r="C5" s="354"/>
    </row>
    <row r="6" spans="1:10">
      <c r="B6" s="354" t="s">
        <v>309</v>
      </c>
      <c r="C6" s="354"/>
    </row>
    <row r="7" spans="1:10">
      <c r="B7" s="354"/>
      <c r="C7" s="354"/>
    </row>
    <row r="9" spans="1:10">
      <c r="B9" s="364" t="s">
        <v>310</v>
      </c>
      <c r="C9" s="190" t="s">
        <v>311</v>
      </c>
    </row>
    <row r="10" spans="1:10">
      <c r="C10" s="190" t="s">
        <v>709</v>
      </c>
    </row>
    <row r="11" spans="1:10">
      <c r="C11" s="399" t="s">
        <v>710</v>
      </c>
    </row>
    <row r="13" spans="1:10">
      <c r="F13" s="550"/>
    </row>
    <row r="15" spans="1:10">
      <c r="B15" s="364" t="s">
        <v>711</v>
      </c>
      <c r="C15" s="190" t="s">
        <v>712</v>
      </c>
    </row>
    <row r="16" spans="1:10">
      <c r="C16" s="190" t="s">
        <v>683</v>
      </c>
    </row>
    <row r="17" spans="2:10">
      <c r="C17" s="190" t="s">
        <v>684</v>
      </c>
    </row>
    <row r="19" spans="2:10">
      <c r="C19" s="190" t="s">
        <v>685</v>
      </c>
      <c r="J19" s="190" t="s">
        <v>686</v>
      </c>
    </row>
    <row r="20" spans="2:10">
      <c r="C20" s="1362"/>
      <c r="D20" s="1363"/>
      <c r="E20" s="1363"/>
      <c r="F20" s="1363"/>
      <c r="G20" s="1363"/>
      <c r="H20" s="1364"/>
      <c r="J20" s="549"/>
    </row>
    <row r="21" spans="2:10">
      <c r="C21" s="1362"/>
      <c r="D21" s="1363"/>
      <c r="E21" s="1363"/>
      <c r="F21" s="1363"/>
      <c r="G21" s="1363"/>
      <c r="H21" s="1364"/>
      <c r="J21" s="549"/>
    </row>
    <row r="22" spans="2:10">
      <c r="C22" s="1362"/>
      <c r="D22" s="1363"/>
      <c r="E22" s="1363"/>
      <c r="F22" s="1363"/>
      <c r="G22" s="1363"/>
      <c r="H22" s="1364"/>
      <c r="J22" s="549"/>
    </row>
    <row r="23" spans="2:10">
      <c r="C23" s="1362"/>
      <c r="D23" s="1363"/>
      <c r="E23" s="1363"/>
      <c r="F23" s="1363"/>
      <c r="G23" s="1363"/>
      <c r="H23" s="1364"/>
      <c r="J23" s="549"/>
    </row>
    <row r="24" spans="2:10">
      <c r="C24" s="1362"/>
      <c r="D24" s="1363"/>
      <c r="E24" s="1363"/>
      <c r="F24" s="1363"/>
      <c r="G24" s="1363"/>
      <c r="H24" s="1364"/>
      <c r="J24" s="549"/>
    </row>
    <row r="25" spans="2:10">
      <c r="C25" s="1362"/>
      <c r="D25" s="1363"/>
      <c r="E25" s="1363"/>
      <c r="F25" s="1363"/>
      <c r="G25" s="1363"/>
      <c r="H25" s="1364"/>
      <c r="J25" s="549"/>
    </row>
    <row r="27" spans="2:10">
      <c r="B27" s="364" t="s">
        <v>687</v>
      </c>
      <c r="C27" s="190" t="s">
        <v>688</v>
      </c>
    </row>
    <row r="28" spans="2:10">
      <c r="C28" s="190" t="s">
        <v>612</v>
      </c>
    </row>
    <row r="30" spans="2:10">
      <c r="F30" s="338"/>
    </row>
    <row r="32" spans="2:10">
      <c r="C32" s="190" t="s">
        <v>1213</v>
      </c>
    </row>
    <row r="34" spans="2:8">
      <c r="C34" s="1362"/>
      <c r="D34" s="1363"/>
      <c r="E34" s="1363"/>
      <c r="F34" s="1363"/>
      <c r="G34" s="1363"/>
      <c r="H34" s="1364"/>
    </row>
    <row r="35" spans="2:8">
      <c r="C35" s="1362"/>
      <c r="D35" s="1363"/>
      <c r="E35" s="1363"/>
      <c r="F35" s="1363"/>
      <c r="G35" s="1363"/>
      <c r="H35" s="1364"/>
    </row>
    <row r="36" spans="2:8">
      <c r="C36" s="1362"/>
      <c r="D36" s="1363"/>
      <c r="E36" s="1363"/>
      <c r="F36" s="1363"/>
      <c r="G36" s="1363"/>
      <c r="H36" s="1364"/>
    </row>
    <row r="37" spans="2:8">
      <c r="C37" s="1362"/>
      <c r="D37" s="1363"/>
      <c r="E37" s="1363"/>
      <c r="F37" s="1363"/>
      <c r="G37" s="1363"/>
      <c r="H37" s="1364"/>
    </row>
    <row r="39" spans="2:8">
      <c r="B39" s="364" t="s">
        <v>1214</v>
      </c>
      <c r="C39" s="190" t="s">
        <v>1215</v>
      </c>
    </row>
    <row r="40" spans="2:8">
      <c r="C40" s="190" t="s">
        <v>1216</v>
      </c>
    </row>
    <row r="42" spans="2:8">
      <c r="F42" s="338"/>
    </row>
    <row r="44" spans="2:8">
      <c r="C44" s="190" t="s">
        <v>1213</v>
      </c>
    </row>
    <row r="46" spans="2:8">
      <c r="C46" s="1362"/>
      <c r="D46" s="1363"/>
      <c r="E46" s="1363"/>
      <c r="F46" s="1363"/>
      <c r="G46" s="1363"/>
      <c r="H46" s="1364"/>
    </row>
    <row r="47" spans="2:8">
      <c r="C47" s="1362"/>
      <c r="D47" s="1363"/>
      <c r="E47" s="1363"/>
      <c r="F47" s="1363"/>
      <c r="G47" s="1363"/>
      <c r="H47" s="1364"/>
    </row>
    <row r="48" spans="2:8">
      <c r="C48" s="1362"/>
      <c r="D48" s="1363"/>
      <c r="E48" s="1363"/>
      <c r="F48" s="1363"/>
      <c r="G48" s="1363"/>
      <c r="H48" s="1364"/>
    </row>
    <row r="49" spans="2:8">
      <c r="C49" s="1362"/>
      <c r="D49" s="1363"/>
      <c r="E49" s="1363"/>
      <c r="F49" s="1363"/>
      <c r="G49" s="1363"/>
      <c r="H49" s="1364"/>
    </row>
    <row r="51" spans="2:8">
      <c r="B51" s="364" t="s">
        <v>1217</v>
      </c>
      <c r="C51" s="190" t="s">
        <v>1218</v>
      </c>
      <c r="F51" s="338"/>
    </row>
    <row r="53" spans="2:8">
      <c r="C53" s="190" t="s">
        <v>67</v>
      </c>
    </row>
  </sheetData>
  <sheetProtection password="CCBC" sheet="1" objects="1" scenarios="1"/>
  <mergeCells count="14">
    <mergeCell ref="C25:H25"/>
    <mergeCell ref="C20:H20"/>
    <mergeCell ref="C21:H21"/>
    <mergeCell ref="C22:H22"/>
    <mergeCell ref="C23:H23"/>
    <mergeCell ref="C24:H24"/>
    <mergeCell ref="C34:H34"/>
    <mergeCell ref="C35:H35"/>
    <mergeCell ref="C47:H47"/>
    <mergeCell ref="C48:H48"/>
    <mergeCell ref="C49:H49"/>
    <mergeCell ref="C36:H36"/>
    <mergeCell ref="C37:H37"/>
    <mergeCell ref="C46:H46"/>
  </mergeCells>
  <phoneticPr fontId="51" type="noConversion"/>
  <dataValidations count="1">
    <dataValidation type="list" allowBlank="1" showInputMessage="1" showErrorMessage="1" sqref="F30 F42 F51" xr:uid="{00000000-0002-0000-1900-000000000000}">
      <formula1>"YES, NO"</formula1>
    </dataValidation>
  </dataValidations>
  <printOptions horizontalCentered="1"/>
  <pageMargins left="0.75" right="0.75" top="1" bottom="1" header="0.5" footer="0.5"/>
  <pageSetup scale="92" orientation="portrait" horizontalDpi="360" verticalDpi="360" r:id="rId1"/>
  <headerFooter alignWithMargins="0"/>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2"/>
  <dimension ref="A1:L35"/>
  <sheetViews>
    <sheetView zoomScaleNormal="100" workbookViewId="0">
      <selection sqref="A1:IV65536"/>
    </sheetView>
  </sheetViews>
  <sheetFormatPr baseColWidth="10" defaultColWidth="8.83203125" defaultRowHeight="13"/>
  <cols>
    <col min="1" max="1" width="3.6640625" customWidth="1"/>
    <col min="13" max="13" width="3.6640625" customWidth="1"/>
  </cols>
  <sheetData>
    <row r="1" spans="1:12">
      <c r="A1" s="381" t="s">
        <v>212</v>
      </c>
      <c r="J1" s="879">
        <f>+Name</f>
        <v>0</v>
      </c>
      <c r="L1" s="374" t="e">
        <f>Cover!$H$6</f>
        <v>#N/A</v>
      </c>
    </row>
    <row r="2" spans="1:12" ht="14" thickBot="1"/>
    <row r="3" spans="1:12" ht="20" thickTop="1" thickBot="1">
      <c r="B3" s="717" t="s">
        <v>188</v>
      </c>
      <c r="C3" s="718"/>
      <c r="D3" s="718"/>
      <c r="E3" s="718"/>
      <c r="F3" s="718"/>
      <c r="G3" s="718"/>
      <c r="H3" s="718"/>
      <c r="I3" s="718"/>
      <c r="J3" s="718"/>
      <c r="K3" s="718"/>
      <c r="L3" s="719"/>
    </row>
    <row r="4" spans="1:12" ht="14" thickTop="1">
      <c r="B4" s="713"/>
      <c r="C4" s="713"/>
      <c r="D4" s="713"/>
      <c r="E4" s="713"/>
      <c r="F4" s="713"/>
      <c r="G4" s="713"/>
      <c r="H4" s="713"/>
      <c r="I4" s="713"/>
      <c r="J4" s="713"/>
      <c r="K4" s="713"/>
      <c r="L4" s="713"/>
    </row>
    <row r="5" spans="1:12">
      <c r="B5" s="713"/>
      <c r="C5" s="713"/>
      <c r="D5" s="713"/>
      <c r="E5" s="713"/>
      <c r="F5" s="713"/>
      <c r="G5" s="713"/>
      <c r="H5" s="713"/>
      <c r="I5" s="713"/>
      <c r="J5" s="713"/>
      <c r="K5" s="713"/>
      <c r="L5" s="713"/>
    </row>
    <row r="6" spans="1:12">
      <c r="B6" s="713"/>
      <c r="C6" s="713"/>
      <c r="D6" s="713"/>
      <c r="E6" s="713"/>
      <c r="F6" s="713"/>
      <c r="G6" s="713"/>
      <c r="H6" s="713"/>
      <c r="I6" s="713"/>
      <c r="J6" s="713"/>
      <c r="K6" s="713"/>
      <c r="L6" s="713"/>
    </row>
    <row r="7" spans="1:12">
      <c r="B7" s="713" t="s">
        <v>189</v>
      </c>
      <c r="C7" s="713"/>
      <c r="D7" s="713"/>
      <c r="E7" s="713"/>
      <c r="F7" s="713"/>
      <c r="G7" s="713"/>
      <c r="H7" s="713"/>
      <c r="I7" s="713"/>
      <c r="J7" s="713"/>
      <c r="K7" s="713"/>
      <c r="L7" s="713"/>
    </row>
    <row r="8" spans="1:12">
      <c r="B8" s="1151" t="s">
        <v>2015</v>
      </c>
      <c r="C8" s="713"/>
      <c r="D8" s="713"/>
      <c r="E8" s="713"/>
      <c r="F8" s="713"/>
      <c r="G8" s="713"/>
      <c r="H8" s="713"/>
      <c r="I8" s="713"/>
      <c r="J8" s="713"/>
      <c r="K8" s="713"/>
      <c r="L8" s="713"/>
    </row>
    <row r="9" spans="1:12">
      <c r="B9" s="713" t="s">
        <v>4</v>
      </c>
      <c r="C9" s="713"/>
      <c r="D9" s="713"/>
      <c r="E9" s="713"/>
      <c r="F9" s="713"/>
      <c r="G9" s="713"/>
      <c r="H9" s="713"/>
      <c r="I9" s="713"/>
      <c r="J9" s="713"/>
      <c r="K9" s="713"/>
      <c r="L9" s="713"/>
    </row>
    <row r="10" spans="1:12">
      <c r="B10" s="713" t="s">
        <v>3</v>
      </c>
      <c r="C10" s="713"/>
      <c r="D10" s="713"/>
      <c r="E10" s="713"/>
      <c r="F10" s="713"/>
      <c r="G10" s="713"/>
      <c r="H10" s="713"/>
      <c r="I10" s="713"/>
      <c r="J10" s="713"/>
      <c r="K10" s="713"/>
      <c r="L10" s="713"/>
    </row>
    <row r="11" spans="1:12">
      <c r="B11" s="713"/>
      <c r="C11" s="713"/>
      <c r="D11" s="713"/>
      <c r="E11" s="713"/>
      <c r="F11" s="713"/>
      <c r="G11" s="713"/>
      <c r="H11" s="713"/>
      <c r="I11" s="713"/>
      <c r="J11" s="713"/>
      <c r="K11" s="713"/>
      <c r="L11" s="713"/>
    </row>
    <row r="12" spans="1:12">
      <c r="B12" s="713" t="s">
        <v>364</v>
      </c>
      <c r="C12" s="713" t="s">
        <v>365</v>
      </c>
      <c r="D12" s="713"/>
      <c r="E12" s="713"/>
      <c r="F12" s="713"/>
      <c r="G12" s="713"/>
      <c r="H12" s="713"/>
      <c r="I12" s="713"/>
      <c r="J12" s="713"/>
      <c r="K12" s="713"/>
      <c r="L12" s="713"/>
    </row>
    <row r="13" spans="1:12">
      <c r="B13" s="713"/>
      <c r="C13" s="713" t="s">
        <v>366</v>
      </c>
      <c r="D13" s="713"/>
      <c r="E13" s="713"/>
      <c r="F13" s="713"/>
      <c r="G13" s="713"/>
      <c r="H13" s="713"/>
      <c r="I13" s="713"/>
      <c r="J13" s="713"/>
      <c r="K13" s="713"/>
      <c r="L13" s="713"/>
    </row>
    <row r="14" spans="1:12">
      <c r="B14" s="713"/>
      <c r="C14" s="713"/>
      <c r="D14" s="713"/>
      <c r="E14" s="713"/>
      <c r="F14" s="713"/>
      <c r="G14" s="713"/>
      <c r="H14" s="713"/>
      <c r="I14" s="713"/>
      <c r="J14" s="713"/>
      <c r="K14" s="713"/>
      <c r="L14" s="713"/>
    </row>
    <row r="15" spans="1:12">
      <c r="B15" s="713"/>
      <c r="C15" s="713"/>
      <c r="D15" s="713"/>
      <c r="E15" s="713"/>
      <c r="F15" s="713"/>
      <c r="G15" s="713"/>
      <c r="H15" s="713"/>
      <c r="I15" s="713"/>
      <c r="J15" s="713"/>
      <c r="K15" s="713"/>
      <c r="L15" s="713"/>
    </row>
    <row r="16" spans="1:12">
      <c r="B16" s="713" t="s">
        <v>367</v>
      </c>
      <c r="C16" s="713"/>
      <c r="D16" s="713"/>
      <c r="E16" s="713"/>
      <c r="F16" s="713"/>
      <c r="G16" s="713"/>
      <c r="H16" s="713"/>
      <c r="I16" s="713"/>
      <c r="J16" s="713"/>
      <c r="K16" s="713"/>
      <c r="L16" s="713"/>
    </row>
    <row r="17" spans="2:12">
      <c r="B17" s="713"/>
      <c r="C17" s="713"/>
      <c r="D17" s="713"/>
      <c r="E17" s="713"/>
      <c r="F17" s="713"/>
      <c r="G17" s="713"/>
      <c r="H17" s="713"/>
      <c r="I17" s="713"/>
      <c r="J17" s="713"/>
      <c r="K17" s="713"/>
      <c r="L17" s="713"/>
    </row>
    <row r="18" spans="2:12">
      <c r="B18" s="713"/>
      <c r="C18" s="714"/>
      <c r="D18" s="713"/>
      <c r="E18" s="1596" t="s">
        <v>368</v>
      </c>
      <c r="F18" s="1596"/>
      <c r="G18" s="1596"/>
      <c r="H18" s="1596"/>
      <c r="I18" s="1596"/>
      <c r="J18" s="1596"/>
      <c r="K18" s="1596"/>
      <c r="L18" s="1596"/>
    </row>
    <row r="19" spans="2:12">
      <c r="B19" s="713"/>
      <c r="C19" s="713"/>
      <c r="D19" s="713"/>
      <c r="E19" s="713"/>
      <c r="F19" s="713"/>
      <c r="G19" s="713"/>
      <c r="H19" s="713"/>
      <c r="I19" s="713"/>
      <c r="J19" s="713"/>
      <c r="K19" s="713"/>
      <c r="L19" s="713"/>
    </row>
    <row r="20" spans="2:12">
      <c r="B20" s="713"/>
      <c r="C20" s="714"/>
      <c r="D20" s="713"/>
      <c r="E20" s="1596" t="s">
        <v>1183</v>
      </c>
      <c r="F20" s="1596"/>
      <c r="G20" s="1596"/>
      <c r="H20" s="1596"/>
      <c r="I20" s="1596"/>
      <c r="J20" s="1596"/>
      <c r="K20" s="1596"/>
      <c r="L20" s="1596"/>
    </row>
    <row r="21" spans="2:12">
      <c r="B21" s="713"/>
      <c r="C21" s="713"/>
      <c r="D21" s="713"/>
      <c r="E21" s="713"/>
      <c r="F21" s="713"/>
      <c r="G21" s="713"/>
      <c r="H21" s="713"/>
      <c r="I21" s="713"/>
      <c r="J21" s="713"/>
      <c r="K21" s="713"/>
      <c r="L21" s="713"/>
    </row>
    <row r="22" spans="2:12">
      <c r="B22" s="713"/>
      <c r="C22" s="714"/>
      <c r="D22" s="713"/>
      <c r="E22" s="1596" t="s">
        <v>208</v>
      </c>
      <c r="F22" s="1596"/>
      <c r="G22" s="1596"/>
      <c r="H22" s="1596"/>
      <c r="I22" s="1596"/>
      <c r="J22" s="1596"/>
      <c r="K22" s="1596"/>
      <c r="L22" s="1596"/>
    </row>
    <row r="23" spans="2:12">
      <c r="B23" s="713"/>
      <c r="C23" s="713"/>
      <c r="D23" s="713"/>
      <c r="E23" s="713"/>
      <c r="F23" s="713"/>
      <c r="G23" s="713"/>
      <c r="H23" s="713"/>
      <c r="I23" s="713"/>
      <c r="J23" s="713"/>
      <c r="K23" s="713"/>
      <c r="L23" s="713"/>
    </row>
    <row r="24" spans="2:12">
      <c r="B24" s="713"/>
      <c r="C24" s="714"/>
      <c r="D24" s="713"/>
      <c r="E24" s="1596" t="s">
        <v>209</v>
      </c>
      <c r="F24" s="1596"/>
      <c r="G24" s="1596"/>
      <c r="H24" s="1596"/>
      <c r="I24" s="1596"/>
      <c r="J24" s="1596"/>
      <c r="K24" s="1596"/>
      <c r="L24" s="1596"/>
    </row>
    <row r="25" spans="2:12">
      <c r="B25" s="713"/>
      <c r="C25" s="713"/>
      <c r="D25" s="713"/>
      <c r="E25" s="713"/>
      <c r="F25" s="713"/>
      <c r="G25" s="713"/>
      <c r="H25" s="713"/>
      <c r="I25" s="713"/>
      <c r="J25" s="713"/>
      <c r="K25" s="713"/>
      <c r="L25" s="713"/>
    </row>
    <row r="26" spans="2:12">
      <c r="B26" s="713"/>
      <c r="C26" s="713"/>
      <c r="D26" s="713"/>
      <c r="E26" s="713"/>
      <c r="F26" s="713"/>
      <c r="G26" s="713"/>
      <c r="H26" s="713"/>
      <c r="I26" s="713"/>
      <c r="J26" s="713"/>
      <c r="K26" s="713"/>
      <c r="L26" s="713"/>
    </row>
    <row r="27" spans="2:12">
      <c r="B27" s="713"/>
      <c r="C27" s="713"/>
      <c r="D27" s="713"/>
      <c r="E27" s="713"/>
      <c r="F27" s="713"/>
      <c r="G27" s="713"/>
      <c r="H27" s="713"/>
      <c r="I27" s="713" t="s">
        <v>210</v>
      </c>
      <c r="J27" s="713"/>
      <c r="K27" s="713"/>
      <c r="L27" s="713"/>
    </row>
    <row r="28" spans="2:12">
      <c r="B28" s="713"/>
      <c r="C28" s="713"/>
      <c r="D28" s="713"/>
      <c r="E28" s="713"/>
      <c r="F28" s="713"/>
      <c r="G28" s="713"/>
      <c r="H28" s="713"/>
      <c r="I28" s="713"/>
      <c r="J28" s="713"/>
      <c r="K28" s="713"/>
      <c r="L28" s="713"/>
    </row>
    <row r="29" spans="2:12">
      <c r="B29" s="713"/>
      <c r="C29" s="713"/>
      <c r="D29" s="713"/>
      <c r="E29" s="713"/>
      <c r="F29" s="713"/>
      <c r="G29" s="713"/>
      <c r="H29" s="713"/>
      <c r="I29" s="713"/>
      <c r="J29" s="713"/>
      <c r="K29" s="713"/>
      <c r="L29" s="713"/>
    </row>
    <row r="30" spans="2:12">
      <c r="B30" s="713"/>
      <c r="C30" s="713"/>
      <c r="D30" s="713"/>
      <c r="E30" s="713"/>
      <c r="F30" s="713"/>
      <c r="G30" s="713"/>
      <c r="H30" s="715" t="s">
        <v>1882</v>
      </c>
      <c r="I30" s="714"/>
      <c r="J30" s="714"/>
      <c r="K30" s="714"/>
      <c r="L30" s="713"/>
    </row>
    <row r="31" spans="2:12">
      <c r="B31" s="713"/>
      <c r="C31" s="713"/>
      <c r="D31" s="713"/>
      <c r="E31" s="713"/>
      <c r="F31" s="713"/>
      <c r="G31" s="713"/>
      <c r="H31" s="715" t="s">
        <v>1997</v>
      </c>
      <c r="I31" s="714"/>
      <c r="J31" s="716"/>
      <c r="K31" s="716"/>
      <c r="L31" s="713"/>
    </row>
    <row r="32" spans="2:12">
      <c r="B32" s="713"/>
      <c r="C32" s="713"/>
      <c r="D32" s="713"/>
      <c r="E32" s="713"/>
      <c r="F32" s="713"/>
      <c r="G32" s="713"/>
      <c r="H32" s="715" t="s">
        <v>1507</v>
      </c>
      <c r="I32" s="714"/>
      <c r="J32" s="716"/>
      <c r="K32" s="716"/>
      <c r="L32" s="713"/>
    </row>
    <row r="33" spans="2:12">
      <c r="B33" s="713"/>
      <c r="C33" s="713"/>
      <c r="D33" s="713"/>
      <c r="E33" s="713"/>
      <c r="F33" s="713"/>
      <c r="G33" s="713"/>
      <c r="H33" s="715" t="s">
        <v>211</v>
      </c>
      <c r="I33" s="716"/>
      <c r="J33" s="716"/>
      <c r="K33" s="716"/>
      <c r="L33" s="713"/>
    </row>
    <row r="34" spans="2:12">
      <c r="B34" s="713"/>
      <c r="C34" s="713"/>
      <c r="D34" s="713"/>
      <c r="E34" s="713"/>
      <c r="F34" s="713"/>
      <c r="G34" s="713"/>
      <c r="H34" s="713"/>
      <c r="I34" s="713"/>
      <c r="J34" s="713"/>
      <c r="K34" s="713"/>
      <c r="L34" s="713"/>
    </row>
    <row r="35" spans="2:12">
      <c r="B35" s="713"/>
      <c r="C35" s="713"/>
      <c r="D35" s="713"/>
      <c r="E35" s="713"/>
      <c r="F35" s="713"/>
      <c r="G35" s="713"/>
      <c r="H35" s="713"/>
      <c r="I35" s="713"/>
      <c r="J35" s="713"/>
      <c r="K35" s="713"/>
      <c r="L35" s="713"/>
    </row>
  </sheetData>
  <sheetProtection password="CCBC" sheet="1" objects="1" scenarios="1"/>
  <mergeCells count="4">
    <mergeCell ref="E18:L18"/>
    <mergeCell ref="E20:L20"/>
    <mergeCell ref="E22:L22"/>
    <mergeCell ref="E24:L24"/>
  </mergeCells>
  <phoneticPr fontId="51" type="noConversion"/>
  <pageMargins left="0.75" right="0.75" top="1" bottom="1" header="0.5" footer="0.5"/>
  <pageSetup scale="84"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I50"/>
  <sheetViews>
    <sheetView topLeftCell="A37" zoomScaleNormal="100" workbookViewId="0">
      <selection activeCell="L5" sqref="L5"/>
    </sheetView>
  </sheetViews>
  <sheetFormatPr baseColWidth="10" defaultColWidth="9.1640625" defaultRowHeight="13"/>
  <cols>
    <col min="1" max="1" width="3.6640625" style="190" customWidth="1"/>
    <col min="2" max="2" width="9.1640625" style="190"/>
    <col min="3" max="3" width="15.6640625" style="190" customWidth="1"/>
    <col min="4" max="9" width="9.1640625" style="190"/>
    <col min="10" max="10" width="3.6640625" style="190" customWidth="1"/>
    <col min="11" max="16384" width="9.1640625" style="190"/>
  </cols>
  <sheetData>
    <row r="1" spans="1:9">
      <c r="A1" s="381" t="s">
        <v>68</v>
      </c>
      <c r="D1" s="348"/>
      <c r="H1" s="879">
        <f>+Name</f>
        <v>0</v>
      </c>
      <c r="I1" s="374" t="e">
        <f>Cover!$H$6</f>
        <v>#N/A</v>
      </c>
    </row>
    <row r="2" spans="1:9" ht="14" thickBot="1"/>
    <row r="3" spans="1:9" ht="20" thickTop="1" thickBot="1">
      <c r="B3" s="1487" t="s">
        <v>69</v>
      </c>
      <c r="C3" s="1488"/>
      <c r="D3" s="1488"/>
      <c r="E3" s="1488"/>
      <c r="F3" s="1488"/>
      <c r="G3" s="1488"/>
      <c r="H3" s="1488"/>
      <c r="I3" s="1489"/>
    </row>
    <row r="4" spans="1:9" ht="14" thickTop="1"/>
    <row r="5" spans="1:9">
      <c r="B5" s="190" t="s">
        <v>70</v>
      </c>
    </row>
    <row r="7" spans="1:9">
      <c r="C7" s="551"/>
    </row>
    <row r="9" spans="1:9">
      <c r="B9" s="190" t="s">
        <v>174</v>
      </c>
    </row>
    <row r="10" spans="1:9">
      <c r="B10" s="1600"/>
      <c r="C10" s="1601"/>
      <c r="D10" s="1601"/>
      <c r="E10" s="1601"/>
      <c r="F10" s="1601"/>
      <c r="G10" s="1601"/>
      <c r="H10" s="1601"/>
      <c r="I10" s="1602"/>
    </row>
    <row r="11" spans="1:9">
      <c r="B11" s="1599"/>
      <c r="C11" s="1599"/>
      <c r="D11" s="1599"/>
      <c r="E11" s="1599"/>
      <c r="F11" s="1599"/>
      <c r="G11" s="1599"/>
      <c r="H11" s="1599"/>
      <c r="I11" s="1599"/>
    </row>
    <row r="12" spans="1:9">
      <c r="B12" s="1600"/>
      <c r="C12" s="1601"/>
      <c r="D12" s="1601"/>
      <c r="E12" s="1601"/>
      <c r="F12" s="1601"/>
      <c r="G12" s="1601"/>
      <c r="H12" s="1601"/>
      <c r="I12" s="1602"/>
    </row>
    <row r="13" spans="1:9">
      <c r="B13" s="1600"/>
      <c r="C13" s="1601"/>
      <c r="D13" s="1601"/>
      <c r="E13" s="1601"/>
      <c r="F13" s="1601"/>
      <c r="G13" s="1601"/>
      <c r="H13" s="1601"/>
      <c r="I13" s="1602"/>
    </row>
    <row r="14" spans="1:9">
      <c r="C14" s="190" t="str">
        <f>IF(nonprofit_description=V16, "(Add as Appendix 1A a description of how Non-Profit materially participates.)", "")</f>
        <v>(Add as Appendix 1A a description of how Non-Profit materially participates.)</v>
      </c>
    </row>
    <row r="15" spans="1:9">
      <c r="B15" s="190" t="s">
        <v>71</v>
      </c>
    </row>
    <row r="16" spans="1:9">
      <c r="B16" s="354" t="s">
        <v>72</v>
      </c>
      <c r="C16" s="354"/>
      <c r="D16" s="354"/>
      <c r="E16" s="354"/>
    </row>
    <row r="17" spans="2:6">
      <c r="B17" s="507"/>
      <c r="C17" s="357"/>
      <c r="D17" s="357"/>
      <c r="E17" s="357"/>
    </row>
    <row r="18" spans="2:6">
      <c r="B18" s="190" t="s">
        <v>1513</v>
      </c>
    </row>
    <row r="20" spans="2:6">
      <c r="C20" s="545"/>
    </row>
    <row r="22" spans="2:6">
      <c r="B22" s="190" t="s">
        <v>73</v>
      </c>
      <c r="F22" s="338"/>
    </row>
    <row r="23" spans="2:6">
      <c r="B23" s="190" t="s">
        <v>111</v>
      </c>
      <c r="F23" s="338"/>
    </row>
    <row r="24" spans="2:6">
      <c r="B24" s="354" t="s">
        <v>74</v>
      </c>
      <c r="C24" s="354"/>
      <c r="D24" s="354"/>
      <c r="E24" s="354"/>
    </row>
    <row r="25" spans="2:6">
      <c r="B25" s="354" t="s">
        <v>1508</v>
      </c>
      <c r="C25" s="354"/>
      <c r="D25" s="354"/>
      <c r="E25" s="354"/>
    </row>
    <row r="26" spans="2:6">
      <c r="B26" s="354" t="s">
        <v>1509</v>
      </c>
      <c r="C26" s="354"/>
      <c r="D26" s="354"/>
      <c r="E26" s="354"/>
    </row>
    <row r="27" spans="2:6">
      <c r="B27" s="354"/>
      <c r="C27" s="354"/>
      <c r="D27" s="354"/>
      <c r="E27" s="354"/>
    </row>
    <row r="28" spans="2:6">
      <c r="B28" s="354" t="s">
        <v>1510</v>
      </c>
      <c r="C28" s="354"/>
      <c r="D28" s="354"/>
      <c r="E28" s="354"/>
      <c r="F28" s="338"/>
    </row>
    <row r="29" spans="2:6">
      <c r="B29" s="354"/>
      <c r="C29" s="354"/>
      <c r="D29" s="354"/>
      <c r="E29" s="354"/>
    </row>
    <row r="30" spans="2:6">
      <c r="B30" s="354" t="s">
        <v>1511</v>
      </c>
      <c r="C30" s="354"/>
      <c r="D30" s="354"/>
      <c r="E30" s="354"/>
    </row>
    <row r="31" spans="2:6">
      <c r="B31" s="354" t="s">
        <v>1512</v>
      </c>
      <c r="C31" s="354"/>
      <c r="D31" s="354"/>
      <c r="E31" s="354"/>
    </row>
    <row r="38" spans="2:8">
      <c r="B38" s="345" t="s">
        <v>2030</v>
      </c>
    </row>
    <row r="40" spans="2:8">
      <c r="B40" s="354"/>
    </row>
    <row r="41" spans="2:8">
      <c r="B41" s="354" t="s">
        <v>1514</v>
      </c>
    </row>
    <row r="42" spans="2:8" ht="28">
      <c r="B42" s="528" t="s">
        <v>1515</v>
      </c>
      <c r="C42" s="442"/>
      <c r="D42" s="528" t="s">
        <v>186</v>
      </c>
      <c r="E42" s="442"/>
      <c r="G42" s="552" t="s">
        <v>98</v>
      </c>
      <c r="H42" s="528" t="s">
        <v>187</v>
      </c>
    </row>
    <row r="43" spans="2:8">
      <c r="B43" s="354"/>
    </row>
    <row r="44" spans="2:8" ht="12.75" customHeight="1">
      <c r="B44" s="1597"/>
      <c r="C44" s="1598"/>
      <c r="D44" s="1597"/>
      <c r="E44" s="1598"/>
      <c r="G44" s="553"/>
      <c r="H44" s="554"/>
    </row>
    <row r="45" spans="2:8">
      <c r="B45" s="348"/>
      <c r="C45" s="348"/>
      <c r="D45" s="348"/>
      <c r="E45" s="348"/>
      <c r="G45" s="348"/>
      <c r="H45" s="348"/>
    </row>
    <row r="46" spans="2:8">
      <c r="B46" s="1597"/>
      <c r="C46" s="1598"/>
      <c r="D46" s="1597"/>
      <c r="E46" s="1598"/>
      <c r="G46" s="553"/>
      <c r="H46" s="554"/>
    </row>
    <row r="47" spans="2:8">
      <c r="B47" s="348"/>
      <c r="C47" s="348"/>
      <c r="D47" s="348"/>
      <c r="E47" s="348"/>
      <c r="G47" s="348"/>
      <c r="H47" s="348"/>
    </row>
    <row r="48" spans="2:8">
      <c r="B48" s="1597"/>
      <c r="C48" s="1598"/>
      <c r="D48" s="1597"/>
      <c r="E48" s="1598"/>
      <c r="G48" s="553"/>
      <c r="H48" s="554"/>
    </row>
    <row r="49" spans="2:8">
      <c r="B49" s="348"/>
      <c r="C49" s="348"/>
      <c r="D49" s="348"/>
      <c r="E49" s="348"/>
      <c r="G49" s="348"/>
      <c r="H49" s="348"/>
    </row>
    <row r="50" spans="2:8">
      <c r="B50" s="1597"/>
      <c r="C50" s="1598"/>
      <c r="D50" s="1597"/>
      <c r="E50" s="1598"/>
      <c r="G50" s="553"/>
      <c r="H50" s="554"/>
    </row>
  </sheetData>
  <sheetProtection password="CCBC" sheet="1" objects="1" scenarios="1"/>
  <mergeCells count="13">
    <mergeCell ref="B3:I3"/>
    <mergeCell ref="B11:I11"/>
    <mergeCell ref="B44:C44"/>
    <mergeCell ref="D44:E44"/>
    <mergeCell ref="B10:I10"/>
    <mergeCell ref="B12:I12"/>
    <mergeCell ref="B13:I13"/>
    <mergeCell ref="B50:C50"/>
    <mergeCell ref="D50:E50"/>
    <mergeCell ref="B46:C46"/>
    <mergeCell ref="D46:E46"/>
    <mergeCell ref="B48:C48"/>
    <mergeCell ref="D48:E48"/>
  </mergeCells>
  <phoneticPr fontId="51" type="noConversion"/>
  <dataValidations count="2">
    <dataValidation type="list" allowBlank="1" showInputMessage="1" showErrorMessage="1" sqref="F22:F23 F28" xr:uid="{00000000-0002-0000-1B00-000000000000}">
      <formula1>"YES, NO"</formula1>
    </dataValidation>
    <dataValidation type="list" allowBlank="1" showInputMessage="1" showErrorMessage="1" sqref="H44 H48 H46 H50" xr:uid="{00000000-0002-0000-1B00-000001000000}">
      <formula1>$AB$42:$AB$43</formula1>
    </dataValidation>
  </dataValidations>
  <printOptions horizontalCentered="1"/>
  <pageMargins left="0.75" right="0.75" top="1" bottom="1" header="0.5" footer="0.5"/>
  <pageSetup scale="97" orientation="portrait" horizontalDpi="360" verticalDpi="36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2"/>
  <dimension ref="A1:K45"/>
  <sheetViews>
    <sheetView topLeftCell="A10" zoomScaleNormal="100" workbookViewId="0">
      <selection activeCell="L5" sqref="L5"/>
    </sheetView>
  </sheetViews>
  <sheetFormatPr baseColWidth="10" defaultColWidth="9.1640625" defaultRowHeight="13"/>
  <cols>
    <col min="1" max="1" width="1.6640625" style="1" customWidth="1"/>
    <col min="2" max="5" width="9.1640625" style="1"/>
    <col min="6" max="6" width="14.33203125" style="1" customWidth="1"/>
    <col min="7" max="10" width="9.1640625" style="1"/>
    <col min="11" max="11" width="1.6640625" style="1" customWidth="1"/>
    <col min="12" max="16384" width="9.1640625" style="1"/>
  </cols>
  <sheetData>
    <row r="1" spans="1:11">
      <c r="A1" s="381" t="s">
        <v>1263</v>
      </c>
      <c r="B1" s="475"/>
      <c r="C1" s="475"/>
      <c r="D1" s="475"/>
      <c r="E1" s="475"/>
      <c r="F1" s="475"/>
      <c r="G1" s="475"/>
      <c r="H1" s="475"/>
      <c r="I1" s="374" t="e">
        <f>Cover!$H$6</f>
        <v>#N/A</v>
      </c>
      <c r="J1" s="475"/>
      <c r="K1" s="475"/>
    </row>
    <row r="2" spans="1:11" ht="18">
      <c r="A2" s="720" t="s">
        <v>109</v>
      </c>
      <c r="B2" s="728"/>
      <c r="C2" s="728"/>
      <c r="D2" s="728"/>
      <c r="E2" s="728"/>
      <c r="F2" s="728"/>
      <c r="G2" s="728"/>
      <c r="H2" s="728"/>
      <c r="I2" s="728"/>
      <c r="J2" s="729"/>
      <c r="K2" s="721"/>
    </row>
    <row r="3" spans="1:11" ht="18">
      <c r="A3" s="720" t="s">
        <v>110</v>
      </c>
      <c r="B3" s="728"/>
      <c r="C3" s="728"/>
      <c r="D3" s="728"/>
      <c r="E3" s="728"/>
      <c r="F3" s="728"/>
      <c r="G3" s="728"/>
      <c r="H3" s="728"/>
      <c r="I3" s="728"/>
      <c r="J3" s="729"/>
      <c r="K3" s="721"/>
    </row>
    <row r="4" spans="1:11">
      <c r="A4" s="644"/>
      <c r="B4" s="644"/>
      <c r="C4" s="644"/>
      <c r="D4" s="644"/>
      <c r="E4" s="644"/>
      <c r="F4" s="644"/>
      <c r="G4" s="644"/>
      <c r="H4" s="644"/>
      <c r="I4" s="644"/>
      <c r="J4" s="644"/>
      <c r="K4" s="644"/>
    </row>
    <row r="5" spans="1:11">
      <c r="A5" s="721" t="s">
        <v>1391</v>
      </c>
      <c r="B5" s="721"/>
      <c r="C5" s="721"/>
      <c r="D5" s="721"/>
      <c r="E5" s="721"/>
      <c r="F5" s="721"/>
      <c r="G5" s="721"/>
      <c r="H5" s="721"/>
      <c r="I5" s="721"/>
      <c r="J5" s="721"/>
      <c r="K5" s="721"/>
    </row>
    <row r="6" spans="1:11">
      <c r="A6" s="721" t="s">
        <v>1430</v>
      </c>
      <c r="B6" s="721"/>
      <c r="C6" s="721"/>
      <c r="D6" s="721"/>
      <c r="E6" s="721"/>
      <c r="F6" s="721"/>
      <c r="G6" s="721"/>
      <c r="H6" s="721"/>
      <c r="I6" s="721"/>
      <c r="J6" s="721"/>
      <c r="K6" s="721"/>
    </row>
    <row r="7" spans="1:11">
      <c r="A7" s="644"/>
      <c r="B7" s="644"/>
      <c r="C7" s="644"/>
      <c r="D7" s="644"/>
      <c r="E7" s="644"/>
      <c r="F7" s="644"/>
      <c r="G7" s="644"/>
      <c r="H7" s="644"/>
      <c r="I7" s="644"/>
      <c r="J7" s="644"/>
      <c r="K7" s="644"/>
    </row>
    <row r="8" spans="1:11">
      <c r="A8" s="644" t="s">
        <v>2015</v>
      </c>
      <c r="B8" s="644"/>
      <c r="C8" s="644"/>
      <c r="D8" s="644"/>
      <c r="E8" s="644"/>
      <c r="F8" s="737"/>
      <c r="G8" s="737"/>
      <c r="H8" s="737"/>
      <c r="I8" s="737"/>
      <c r="J8" s="737"/>
      <c r="K8" s="644"/>
    </row>
    <row r="9" spans="1:11">
      <c r="A9" s="644" t="s">
        <v>4</v>
      </c>
      <c r="B9" s="644"/>
      <c r="C9" s="644"/>
      <c r="D9" s="644"/>
      <c r="E9" s="644"/>
      <c r="F9" s="737"/>
      <c r="G9" s="737"/>
      <c r="H9" s="737"/>
      <c r="I9" s="737"/>
      <c r="J9" s="737"/>
      <c r="K9" s="644"/>
    </row>
    <row r="10" spans="1:11">
      <c r="A10" s="644" t="s">
        <v>3</v>
      </c>
      <c r="B10" s="644"/>
      <c r="C10" s="644"/>
      <c r="D10" s="644"/>
      <c r="E10" s="644"/>
      <c r="F10" s="737"/>
      <c r="G10" s="737"/>
      <c r="H10" s="737"/>
      <c r="I10" s="737"/>
      <c r="J10" s="737"/>
      <c r="K10" s="644"/>
    </row>
    <row r="11" spans="1:11">
      <c r="A11" s="644" t="s">
        <v>1431</v>
      </c>
      <c r="B11" s="644"/>
      <c r="C11" s="644"/>
      <c r="D11" s="644"/>
      <c r="E11" s="644"/>
      <c r="F11" s="737"/>
      <c r="G11" s="737"/>
      <c r="H11" s="737"/>
      <c r="I11" s="737"/>
      <c r="J11" s="737"/>
      <c r="K11" s="644"/>
    </row>
    <row r="12" spans="1:11">
      <c r="A12" s="644"/>
      <c r="B12" s="644"/>
      <c r="C12" s="644"/>
      <c r="D12" s="644"/>
      <c r="E12" s="644"/>
      <c r="F12" s="737"/>
      <c r="G12" s="737"/>
      <c r="H12" s="737"/>
      <c r="I12" s="737"/>
      <c r="J12" s="737"/>
      <c r="K12" s="644"/>
    </row>
    <row r="13" spans="1:11">
      <c r="A13" s="644"/>
      <c r="B13" s="644" t="s">
        <v>365</v>
      </c>
      <c r="C13" s="644"/>
      <c r="D13" s="644"/>
      <c r="E13" s="644"/>
      <c r="F13" s="737"/>
      <c r="G13" s="737"/>
      <c r="H13" s="737"/>
      <c r="I13" s="737"/>
      <c r="J13" s="737"/>
      <c r="K13" s="644"/>
    </row>
    <row r="14" spans="1:11">
      <c r="A14" s="644"/>
      <c r="B14" s="644" t="s">
        <v>366</v>
      </c>
      <c r="C14" s="644"/>
      <c r="D14" s="644"/>
      <c r="E14" s="644"/>
      <c r="F14" s="644"/>
      <c r="G14" s="644"/>
      <c r="H14" s="644"/>
      <c r="I14" s="644"/>
      <c r="J14" s="644"/>
      <c r="K14" s="644"/>
    </row>
    <row r="15" spans="1:11">
      <c r="A15" s="644"/>
      <c r="B15" s="644" t="s">
        <v>1432</v>
      </c>
      <c r="C15" s="644"/>
      <c r="D15" s="644"/>
      <c r="E15" s="644"/>
      <c r="F15" s="644"/>
      <c r="G15" s="644"/>
      <c r="H15" s="644"/>
      <c r="I15" s="644"/>
      <c r="J15" s="644"/>
      <c r="K15" s="644"/>
    </row>
    <row r="16" spans="1:11">
      <c r="A16" s="644"/>
      <c r="B16" s="644"/>
      <c r="C16" s="644"/>
      <c r="D16" s="644"/>
      <c r="E16" s="644"/>
      <c r="F16" s="644"/>
      <c r="G16" s="644"/>
      <c r="H16" s="644"/>
      <c r="I16" s="644"/>
      <c r="J16" s="644"/>
      <c r="K16" s="644"/>
    </row>
    <row r="17" spans="1:11">
      <c r="A17" s="644" t="s">
        <v>1433</v>
      </c>
      <c r="B17" s="644"/>
      <c r="C17" s="644"/>
      <c r="D17" s="644"/>
      <c r="E17" s="644"/>
      <c r="F17" s="644"/>
      <c r="G17" s="644"/>
      <c r="H17" s="644"/>
      <c r="I17" s="644"/>
      <c r="J17" s="644"/>
      <c r="K17" s="644"/>
    </row>
    <row r="18" spans="1:11">
      <c r="A18" s="644"/>
      <c r="B18" s="644"/>
      <c r="C18" s="644"/>
      <c r="D18" s="644"/>
      <c r="E18" s="644"/>
      <c r="F18" s="644"/>
      <c r="G18" s="644"/>
      <c r="H18" s="644"/>
      <c r="I18" s="644"/>
      <c r="J18" s="644"/>
      <c r="K18" s="644"/>
    </row>
    <row r="19" spans="1:11" ht="51" customHeight="1">
      <c r="A19" s="1579" t="s">
        <v>2031</v>
      </c>
      <c r="B19" s="1579"/>
      <c r="C19" s="1579"/>
      <c r="D19" s="1579"/>
      <c r="E19" s="1579"/>
      <c r="F19" s="1579"/>
      <c r="G19" s="1579"/>
      <c r="H19" s="1579"/>
      <c r="I19" s="1579"/>
      <c r="J19" s="1579"/>
      <c r="K19" s="1579"/>
    </row>
    <row r="20" spans="1:11">
      <c r="A20" s="644"/>
      <c r="B20" s="644"/>
      <c r="C20" s="644"/>
      <c r="D20" s="644"/>
      <c r="E20" s="644"/>
      <c r="F20" s="644"/>
      <c r="G20" s="644"/>
      <c r="H20" s="644"/>
      <c r="I20" s="644"/>
      <c r="J20" s="644"/>
      <c r="K20" s="644"/>
    </row>
    <row r="21" spans="1:11" ht="61.5" customHeight="1">
      <c r="A21" s="1579" t="s">
        <v>1480</v>
      </c>
      <c r="B21" s="1579"/>
      <c r="C21" s="1579"/>
      <c r="D21" s="1579"/>
      <c r="E21" s="1579"/>
      <c r="F21" s="1579"/>
      <c r="G21" s="1579"/>
      <c r="H21" s="1579"/>
      <c r="I21" s="1579"/>
      <c r="J21" s="1579"/>
      <c r="K21" s="1579"/>
    </row>
    <row r="22" spans="1:11">
      <c r="A22" s="644"/>
      <c r="B22" s="644"/>
      <c r="C22" s="644"/>
      <c r="D22" s="644"/>
      <c r="E22" s="644"/>
      <c r="F22" s="644"/>
      <c r="G22" s="644"/>
      <c r="H22" s="644"/>
      <c r="I22" s="644"/>
      <c r="J22" s="644"/>
      <c r="K22" s="644"/>
    </row>
    <row r="23" spans="1:11">
      <c r="A23" s="722" t="s">
        <v>1922</v>
      </c>
      <c r="B23" s="1579" t="s">
        <v>1481</v>
      </c>
      <c r="C23" s="1579"/>
      <c r="D23" s="1579"/>
      <c r="E23" s="1579"/>
      <c r="F23" s="1579"/>
      <c r="G23" s="1579"/>
      <c r="H23" s="1579"/>
      <c r="I23" s="1579"/>
      <c r="J23" s="1579"/>
      <c r="K23" s="1579"/>
    </row>
    <row r="24" spans="1:11">
      <c r="A24" s="723"/>
      <c r="B24" s="644"/>
      <c r="C24" s="644"/>
      <c r="D24" s="644"/>
      <c r="E24" s="644"/>
      <c r="F24" s="644"/>
      <c r="G24" s="644"/>
      <c r="H24" s="644"/>
      <c r="I24" s="644"/>
      <c r="J24" s="644"/>
      <c r="K24" s="644"/>
    </row>
    <row r="25" spans="1:11">
      <c r="A25" s="722" t="s">
        <v>342</v>
      </c>
      <c r="B25" s="1579" t="s">
        <v>225</v>
      </c>
      <c r="C25" s="1579"/>
      <c r="D25" s="1579"/>
      <c r="E25" s="1579"/>
      <c r="F25" s="1579"/>
      <c r="G25" s="1579"/>
      <c r="H25" s="1579"/>
      <c r="I25" s="1579"/>
      <c r="J25" s="1579"/>
      <c r="K25" s="1579"/>
    </row>
    <row r="26" spans="1:11">
      <c r="A26" s="723"/>
      <c r="B26" s="644"/>
      <c r="C26" s="644"/>
      <c r="D26" s="644"/>
      <c r="E26" s="644"/>
      <c r="F26" s="644"/>
      <c r="G26" s="644"/>
      <c r="H26" s="644"/>
      <c r="I26" s="644"/>
      <c r="J26" s="644"/>
      <c r="K26" s="644"/>
    </row>
    <row r="27" spans="1:11">
      <c r="A27" s="722" t="s">
        <v>344</v>
      </c>
      <c r="B27" s="1579" t="s">
        <v>226</v>
      </c>
      <c r="C27" s="1579"/>
      <c r="D27" s="1579"/>
      <c r="E27" s="1579"/>
      <c r="F27" s="1579"/>
      <c r="G27" s="1579"/>
      <c r="H27" s="1579"/>
      <c r="I27" s="1579"/>
      <c r="J27" s="1579"/>
      <c r="K27" s="1579"/>
    </row>
    <row r="28" spans="1:11">
      <c r="A28" s="723"/>
      <c r="B28" s="644"/>
      <c r="C28" s="644"/>
      <c r="D28" s="644"/>
      <c r="E28" s="644"/>
      <c r="F28" s="644"/>
      <c r="G28" s="644"/>
      <c r="H28" s="644"/>
      <c r="I28" s="644"/>
      <c r="J28" s="644"/>
      <c r="K28" s="644"/>
    </row>
    <row r="29" spans="1:11">
      <c r="A29" s="722" t="s">
        <v>349</v>
      </c>
      <c r="B29" s="1579" t="s">
        <v>956</v>
      </c>
      <c r="C29" s="1579"/>
      <c r="D29" s="1579"/>
      <c r="E29" s="1579"/>
      <c r="F29" s="1579"/>
      <c r="G29" s="1579"/>
      <c r="H29" s="1579"/>
      <c r="I29" s="1579"/>
      <c r="J29" s="1579"/>
      <c r="K29" s="1579"/>
    </row>
    <row r="30" spans="1:11">
      <c r="A30" s="644"/>
      <c r="B30" s="644"/>
      <c r="C30" s="644"/>
      <c r="D30" s="644"/>
      <c r="E30" s="644"/>
      <c r="F30" s="644"/>
      <c r="G30" s="644"/>
      <c r="H30" s="644"/>
      <c r="I30" s="644"/>
      <c r="J30" s="644"/>
      <c r="K30" s="644"/>
    </row>
    <row r="31" spans="1:11" ht="40.5" customHeight="1">
      <c r="A31" s="1579" t="s">
        <v>185</v>
      </c>
      <c r="B31" s="1579"/>
      <c r="C31" s="1579"/>
      <c r="D31" s="1579"/>
      <c r="E31" s="1579"/>
      <c r="F31" s="1579"/>
      <c r="G31" s="1579"/>
      <c r="H31" s="1579"/>
      <c r="I31" s="1579"/>
      <c r="J31" s="1579"/>
      <c r="K31" s="1579"/>
    </row>
    <row r="32" spans="1:11">
      <c r="A32" s="644"/>
      <c r="B32" s="644"/>
      <c r="C32" s="644"/>
      <c r="D32" s="644"/>
      <c r="E32" s="644"/>
      <c r="F32" s="644"/>
      <c r="G32" s="644"/>
      <c r="H32" s="644"/>
      <c r="I32" s="644"/>
      <c r="J32" s="644"/>
      <c r="K32" s="644"/>
    </row>
    <row r="33" spans="1:11">
      <c r="A33" s="722" t="s">
        <v>1922</v>
      </c>
      <c r="B33" s="1579" t="s">
        <v>1139</v>
      </c>
      <c r="C33" s="1579"/>
      <c r="D33" s="1579"/>
      <c r="E33" s="1579"/>
      <c r="F33" s="1579"/>
      <c r="G33" s="1579"/>
      <c r="H33" s="1579"/>
      <c r="I33" s="1579"/>
      <c r="J33" s="1579"/>
      <c r="K33" s="1579"/>
    </row>
    <row r="34" spans="1:11">
      <c r="A34" s="723"/>
      <c r="B34" s="644"/>
      <c r="C34" s="644"/>
      <c r="D34" s="644"/>
      <c r="E34" s="644"/>
      <c r="F34" s="644"/>
      <c r="G34" s="644"/>
      <c r="H34" s="644"/>
      <c r="I34" s="644"/>
      <c r="J34" s="644"/>
      <c r="K34" s="644"/>
    </row>
    <row r="35" spans="1:11">
      <c r="A35" s="722" t="s">
        <v>342</v>
      </c>
      <c r="B35" s="1579" t="s">
        <v>1140</v>
      </c>
      <c r="C35" s="1579"/>
      <c r="D35" s="1579"/>
      <c r="E35" s="1579"/>
      <c r="F35" s="1579"/>
      <c r="G35" s="1579"/>
      <c r="H35" s="1579"/>
      <c r="I35" s="1579"/>
      <c r="J35" s="1579"/>
      <c r="K35" s="1579"/>
    </row>
    <row r="36" spans="1:11">
      <c r="A36" s="644"/>
      <c r="B36" s="644"/>
      <c r="C36" s="644"/>
      <c r="D36" s="644"/>
      <c r="E36" s="644"/>
      <c r="F36" s="644"/>
      <c r="G36" s="644"/>
      <c r="H36" s="644"/>
      <c r="I36" s="644"/>
      <c r="J36" s="644"/>
      <c r="K36" s="644"/>
    </row>
    <row r="37" spans="1:11" ht="27" customHeight="1">
      <c r="A37" s="1579" t="s">
        <v>1141</v>
      </c>
      <c r="B37" s="1579"/>
      <c r="C37" s="1579"/>
      <c r="D37" s="1579"/>
      <c r="E37" s="1579"/>
      <c r="F37" s="1579"/>
      <c r="G37" s="1579"/>
      <c r="H37" s="1579"/>
      <c r="I37" s="1579"/>
      <c r="J37" s="1579"/>
      <c r="K37" s="1579"/>
    </row>
    <row r="38" spans="1:11">
      <c r="A38" s="644"/>
      <c r="B38" s="644"/>
      <c r="C38" s="644"/>
      <c r="D38" s="644"/>
      <c r="E38" s="644"/>
      <c r="F38" s="644"/>
      <c r="G38" s="644"/>
      <c r="H38" s="644"/>
      <c r="I38" s="644"/>
      <c r="J38" s="644"/>
      <c r="K38" s="644"/>
    </row>
    <row r="39" spans="1:11">
      <c r="A39" s="644"/>
      <c r="B39" s="644"/>
      <c r="C39" s="644"/>
      <c r="D39" s="644"/>
      <c r="E39" s="644"/>
      <c r="F39" s="644" t="s">
        <v>210</v>
      </c>
      <c r="G39" s="644"/>
      <c r="H39" s="644"/>
      <c r="I39" s="644"/>
      <c r="J39" s="644"/>
      <c r="K39" s="644"/>
    </row>
    <row r="40" spans="1:11">
      <c r="A40" s="644"/>
      <c r="B40" s="644"/>
      <c r="C40" s="644"/>
      <c r="D40" s="644"/>
      <c r="E40" s="644"/>
      <c r="F40" s="644"/>
      <c r="G40" s="644"/>
      <c r="H40" s="644"/>
      <c r="I40" s="644"/>
      <c r="J40" s="644"/>
      <c r="K40" s="644"/>
    </row>
    <row r="41" spans="1:11">
      <c r="A41" s="644"/>
      <c r="B41" s="644"/>
      <c r="C41" s="644"/>
      <c r="D41" s="644"/>
      <c r="E41" s="644"/>
      <c r="F41" s="644"/>
      <c r="G41" s="644"/>
      <c r="H41" s="644"/>
      <c r="I41" s="644"/>
      <c r="J41" s="644"/>
      <c r="K41" s="644"/>
    </row>
    <row r="42" spans="1:11">
      <c r="A42" s="644"/>
      <c r="B42" s="644"/>
      <c r="C42" s="644"/>
      <c r="D42" s="644"/>
      <c r="E42" s="724" t="s">
        <v>1142</v>
      </c>
      <c r="F42" s="725"/>
      <c r="G42" s="725"/>
      <c r="H42" s="725"/>
      <c r="I42" s="644"/>
      <c r="J42" s="644"/>
      <c r="K42" s="644"/>
    </row>
    <row r="43" spans="1:11">
      <c r="A43" s="644"/>
      <c r="B43" s="644"/>
      <c r="C43" s="644"/>
      <c r="D43" s="644"/>
      <c r="E43" s="644"/>
      <c r="F43" s="644"/>
      <c r="G43" s="644"/>
      <c r="H43" s="644"/>
      <c r="I43" s="644"/>
      <c r="J43" s="644"/>
      <c r="K43" s="644"/>
    </row>
    <row r="45" spans="1:11">
      <c r="I45" s="879">
        <f>+Name</f>
        <v>0</v>
      </c>
    </row>
  </sheetData>
  <sheetProtection password="CCBC" sheet="1" objects="1" scenarios="1"/>
  <mergeCells count="10">
    <mergeCell ref="A37:K37"/>
    <mergeCell ref="B27:K27"/>
    <mergeCell ref="B29:K29"/>
    <mergeCell ref="A31:K31"/>
    <mergeCell ref="B33:K33"/>
    <mergeCell ref="A19:K19"/>
    <mergeCell ref="A21:K21"/>
    <mergeCell ref="B23:K23"/>
    <mergeCell ref="B25:K25"/>
    <mergeCell ref="B35:K35"/>
  </mergeCells>
  <phoneticPr fontId="51" type="noConversion"/>
  <pageMargins left="0.75" right="0.75" top="1" bottom="1" header="0.5" footer="0.5"/>
  <pageSetup scale="96"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AF37"/>
  <sheetViews>
    <sheetView zoomScaleNormal="100" workbookViewId="0">
      <selection activeCell="L5" sqref="L5:N5"/>
    </sheetView>
  </sheetViews>
  <sheetFormatPr baseColWidth="10" defaultColWidth="9.1640625" defaultRowHeight="13"/>
  <cols>
    <col min="1" max="1" width="1.6640625" style="190" customWidth="1"/>
    <col min="2" max="3" width="3.6640625" style="190" customWidth="1"/>
    <col min="4" max="4" width="36.6640625" style="190" customWidth="1"/>
    <col min="5" max="5" width="16.5" style="190" customWidth="1"/>
    <col min="6" max="6" width="2.5" style="190" customWidth="1"/>
    <col min="7" max="7" width="3.1640625" style="190" customWidth="1"/>
    <col min="8" max="8" width="1.6640625" style="190" customWidth="1"/>
    <col min="9" max="10" width="3.6640625" style="190" customWidth="1"/>
    <col min="11" max="11" width="24.6640625" style="190" customWidth="1"/>
    <col min="12" max="13" width="6.6640625" style="190" customWidth="1"/>
    <col min="14" max="14" width="16.6640625" style="190" customWidth="1"/>
    <col min="15" max="15" width="3.6640625" style="190" customWidth="1"/>
    <col min="16" max="16384" width="9.1640625" style="190"/>
  </cols>
  <sheetData>
    <row r="1" spans="1:32" ht="14" thickBot="1">
      <c r="A1" s="381" t="s">
        <v>1590</v>
      </c>
      <c r="M1" s="879">
        <f>+Name</f>
        <v>0</v>
      </c>
      <c r="N1" s="374" t="e">
        <f>Cover!$H$6</f>
        <v>#N/A</v>
      </c>
    </row>
    <row r="2" spans="1:32" ht="15" thickTop="1" thickBot="1">
      <c r="B2" s="200"/>
      <c r="C2" s="201"/>
      <c r="D2" s="201"/>
      <c r="E2" s="202"/>
      <c r="F2" s="203"/>
      <c r="G2" s="204"/>
      <c r="I2" s="200" t="s">
        <v>968</v>
      </c>
      <c r="J2" s="201"/>
      <c r="K2" s="203"/>
      <c r="L2" s="203"/>
      <c r="M2" s="203"/>
      <c r="N2" s="204"/>
    </row>
    <row r="3" spans="1:32" ht="14" thickTop="1">
      <c r="B3" s="1356" t="s">
        <v>1152</v>
      </c>
      <c r="C3" s="1357"/>
      <c r="D3" s="1358"/>
      <c r="E3" s="1359"/>
      <c r="F3" s="1360"/>
      <c r="G3" s="1361"/>
      <c r="I3" s="1356" t="s">
        <v>970</v>
      </c>
      <c r="J3" s="1357"/>
      <c r="K3" s="1358"/>
      <c r="L3" s="1359"/>
      <c r="M3" s="1360"/>
      <c r="N3" s="1361"/>
    </row>
    <row r="4" spans="1:32">
      <c r="B4" s="1325" t="s">
        <v>1381</v>
      </c>
      <c r="C4" s="1326"/>
      <c r="D4" s="1327"/>
      <c r="E4" s="1337"/>
      <c r="F4" s="1338"/>
      <c r="G4" s="1339"/>
      <c r="I4" s="1325" t="s">
        <v>257</v>
      </c>
      <c r="J4" s="1326"/>
      <c r="K4" s="1327"/>
      <c r="L4" s="1337"/>
      <c r="M4" s="1338"/>
      <c r="N4" s="1339"/>
    </row>
    <row r="5" spans="1:32">
      <c r="B5" s="1325" t="s">
        <v>1380</v>
      </c>
      <c r="C5" s="1326"/>
      <c r="D5" s="1327"/>
      <c r="E5" s="1337"/>
      <c r="F5" s="1338"/>
      <c r="G5" s="1339"/>
      <c r="I5" s="1325" t="s">
        <v>258</v>
      </c>
      <c r="J5" s="1326"/>
      <c r="K5" s="1327"/>
      <c r="L5" s="1337"/>
      <c r="M5" s="1338"/>
      <c r="N5" s="1339"/>
      <c r="O5" s="444" t="str">
        <f>IF(L5="No", "REQUIRED IN QAP","")</f>
        <v/>
      </c>
    </row>
    <row r="6" spans="1:32">
      <c r="B6" s="1331" t="s">
        <v>395</v>
      </c>
      <c r="C6" s="1332"/>
      <c r="D6" s="1333"/>
      <c r="E6" s="1347"/>
      <c r="F6" s="1338"/>
      <c r="G6" s="1339"/>
      <c r="I6" s="1325" t="s">
        <v>259</v>
      </c>
      <c r="J6" s="1326"/>
      <c r="K6" s="1327"/>
      <c r="L6" s="1337"/>
      <c r="M6" s="1338"/>
      <c r="N6" s="1339"/>
    </row>
    <row r="7" spans="1:32">
      <c r="B7" s="698" t="s">
        <v>741</v>
      </c>
      <c r="C7" s="818"/>
      <c r="D7" s="819"/>
      <c r="E7" s="820"/>
      <c r="F7" s="353"/>
      <c r="G7" s="821"/>
      <c r="I7" s="1325" t="s">
        <v>260</v>
      </c>
      <c r="J7" s="1326"/>
      <c r="K7" s="1327"/>
      <c r="L7" s="1337"/>
      <c r="M7" s="1338"/>
      <c r="N7" s="1339"/>
    </row>
    <row r="8" spans="1:32">
      <c r="B8" s="816" t="s">
        <v>1297</v>
      </c>
      <c r="C8" s="815"/>
      <c r="D8" s="814"/>
      <c r="E8" s="1337"/>
      <c r="F8" s="1338"/>
      <c r="G8" s="1339"/>
      <c r="H8" s="441">
        <f>IF(E8="yes",1,0)</f>
        <v>0</v>
      </c>
      <c r="I8" s="1325" t="s">
        <v>261</v>
      </c>
      <c r="J8" s="1326"/>
      <c r="K8" s="1327"/>
      <c r="L8" s="1337"/>
      <c r="M8" s="1338"/>
      <c r="N8" s="1339"/>
      <c r="AF8" s="190" t="s">
        <v>91</v>
      </c>
    </row>
    <row r="9" spans="1:32">
      <c r="B9" s="816" t="s">
        <v>1379</v>
      </c>
      <c r="C9" s="815"/>
      <c r="D9" s="814"/>
      <c r="E9" s="1337"/>
      <c r="F9" s="1338"/>
      <c r="G9" s="1339"/>
      <c r="I9" s="1325" t="s">
        <v>262</v>
      </c>
      <c r="J9" s="1326"/>
      <c r="K9" s="1327"/>
      <c r="L9" s="1337"/>
      <c r="M9" s="1338"/>
      <c r="N9" s="1339"/>
      <c r="O9" s="444" t="str">
        <f>IF(L9="No", "REQUIRED IN QAP","")</f>
        <v/>
      </c>
      <c r="AF9" s="190" t="s">
        <v>92</v>
      </c>
    </row>
    <row r="10" spans="1:32">
      <c r="B10" s="816" t="s">
        <v>254</v>
      </c>
      <c r="C10" s="815"/>
      <c r="D10" s="814"/>
      <c r="E10" s="1337"/>
      <c r="F10" s="1338"/>
      <c r="G10" s="1339"/>
      <c r="I10" s="1325" t="s">
        <v>263</v>
      </c>
      <c r="J10" s="1326"/>
      <c r="K10" s="1327"/>
      <c r="L10" s="1337"/>
      <c r="M10" s="1338"/>
      <c r="N10" s="1339"/>
    </row>
    <row r="11" spans="1:32">
      <c r="B11" s="816" t="s">
        <v>255</v>
      </c>
      <c r="C11" s="815"/>
      <c r="D11" s="814"/>
      <c r="E11" s="1353"/>
      <c r="F11" s="1354"/>
      <c r="G11" s="1355"/>
      <c r="I11" s="1325" t="s">
        <v>264</v>
      </c>
      <c r="J11" s="1326"/>
      <c r="K11" s="1327"/>
      <c r="L11" s="1337"/>
      <c r="M11" s="1338"/>
      <c r="N11" s="1339"/>
    </row>
    <row r="12" spans="1:32">
      <c r="B12" s="816" t="s">
        <v>1382</v>
      </c>
      <c r="C12" s="815"/>
      <c r="D12" s="814"/>
      <c r="E12" s="1337"/>
      <c r="F12" s="1338"/>
      <c r="G12" s="1339"/>
      <c r="I12" s="1325" t="s">
        <v>265</v>
      </c>
      <c r="J12" s="1326"/>
      <c r="K12" s="1327"/>
      <c r="L12" s="1337"/>
      <c r="M12" s="1338"/>
      <c r="N12" s="1339"/>
    </row>
    <row r="13" spans="1:32">
      <c r="B13" s="816" t="s">
        <v>1270</v>
      </c>
      <c r="C13" s="815"/>
      <c r="D13" s="814"/>
      <c r="E13" s="1337"/>
      <c r="F13" s="1338"/>
      <c r="G13" s="1339"/>
      <c r="I13" s="816" t="s">
        <v>266</v>
      </c>
      <c r="J13" s="815"/>
      <c r="K13" s="814"/>
      <c r="L13" s="1126"/>
      <c r="M13" s="822"/>
      <c r="N13" s="823"/>
    </row>
    <row r="14" spans="1:32">
      <c r="B14" s="698" t="s">
        <v>1153</v>
      </c>
      <c r="C14" s="695"/>
      <c r="D14" s="696"/>
      <c r="E14" s="820"/>
      <c r="F14" s="353"/>
      <c r="G14" s="821"/>
      <c r="I14" s="816" t="s">
        <v>267</v>
      </c>
      <c r="J14" s="815"/>
      <c r="K14" s="814"/>
      <c r="L14" s="1337"/>
      <c r="M14" s="1338"/>
      <c r="N14" s="1339"/>
    </row>
    <row r="15" spans="1:32">
      <c r="B15" s="816" t="s">
        <v>1383</v>
      </c>
      <c r="C15" s="815"/>
      <c r="D15" s="814"/>
      <c r="E15" s="1337"/>
      <c r="F15" s="1338"/>
      <c r="G15" s="1339"/>
      <c r="I15" s="816" t="s">
        <v>268</v>
      </c>
      <c r="J15" s="815"/>
      <c r="K15" s="814"/>
      <c r="L15" s="1337"/>
      <c r="M15" s="1338"/>
      <c r="N15" s="1339"/>
      <c r="O15" s="444" t="str">
        <f>IF(L15="No", "REQUIRED IN QAP","")</f>
        <v/>
      </c>
    </row>
    <row r="16" spans="1:32">
      <c r="B16" s="816" t="s">
        <v>1384</v>
      </c>
      <c r="C16" s="815"/>
      <c r="D16" s="814"/>
      <c r="E16" s="1337"/>
      <c r="F16" s="1338"/>
      <c r="G16" s="1339"/>
      <c r="I16" s="816" t="s">
        <v>269</v>
      </c>
      <c r="J16" s="815"/>
      <c r="K16" s="814"/>
      <c r="L16" s="1337"/>
      <c r="M16" s="1338"/>
      <c r="N16" s="1339"/>
    </row>
    <row r="17" spans="2:15">
      <c r="B17" s="698" t="s">
        <v>1799</v>
      </c>
      <c r="C17" s="695"/>
      <c r="D17" s="696"/>
      <c r="E17" s="820"/>
      <c r="F17" s="353"/>
      <c r="G17" s="821"/>
      <c r="I17" s="816" t="s">
        <v>270</v>
      </c>
      <c r="J17" s="815"/>
      <c r="K17" s="814"/>
      <c r="L17" s="1337"/>
      <c r="M17" s="1338"/>
      <c r="N17" s="1339"/>
    </row>
    <row r="18" spans="2:15">
      <c r="B18" s="1325" t="s">
        <v>1168</v>
      </c>
      <c r="C18" s="1326"/>
      <c r="D18" s="1327"/>
      <c r="E18" s="1350"/>
      <c r="F18" s="1351"/>
      <c r="G18" s="1352"/>
      <c r="I18" s="816" t="s">
        <v>271</v>
      </c>
      <c r="J18" s="815"/>
      <c r="K18" s="814"/>
      <c r="L18" s="1337"/>
      <c r="M18" s="1338"/>
      <c r="N18" s="1339"/>
      <c r="O18" s="444" t="str">
        <f>IF(L18="No", "REQUIRED IN QAP","")</f>
        <v/>
      </c>
    </row>
    <row r="19" spans="2:15">
      <c r="B19" s="1325" t="s">
        <v>1800</v>
      </c>
      <c r="C19" s="1326"/>
      <c r="D19" s="1327"/>
      <c r="E19" s="1337"/>
      <c r="F19" s="1338"/>
      <c r="G19" s="1339"/>
      <c r="I19" s="816" t="s">
        <v>272</v>
      </c>
      <c r="J19" s="815"/>
      <c r="K19" s="814"/>
      <c r="L19" s="1337"/>
      <c r="M19" s="1338"/>
      <c r="N19" s="1339"/>
    </row>
    <row r="20" spans="2:15">
      <c r="B20" s="1325" t="s">
        <v>453</v>
      </c>
      <c r="C20" s="1326"/>
      <c r="D20" s="1327"/>
      <c r="E20" s="1337">
        <f>+'Primary Input'!E26:G26</f>
        <v>0</v>
      </c>
      <c r="F20" s="1338"/>
      <c r="G20" s="1339"/>
      <c r="I20" s="816" t="s">
        <v>273</v>
      </c>
      <c r="J20" s="815"/>
      <c r="K20" s="814"/>
      <c r="L20" s="1337"/>
      <c r="M20" s="1338"/>
      <c r="N20" s="1339"/>
    </row>
    <row r="21" spans="2:15">
      <c r="B21" s="1325" t="s">
        <v>1764</v>
      </c>
      <c r="C21" s="1326"/>
      <c r="D21" s="1327"/>
      <c r="E21" s="1337"/>
      <c r="F21" s="1338"/>
      <c r="G21" s="1339"/>
      <c r="I21" s="816" t="s">
        <v>387</v>
      </c>
      <c r="J21" s="815"/>
      <c r="K21" s="814"/>
      <c r="L21" s="1337"/>
      <c r="M21" s="1338"/>
      <c r="N21" s="1339"/>
    </row>
    <row r="22" spans="2:15">
      <c r="B22" s="1325" t="s">
        <v>1897</v>
      </c>
      <c r="C22" s="1326"/>
      <c r="D22" s="1327"/>
      <c r="E22" s="1337"/>
      <c r="F22" s="1338"/>
      <c r="G22" s="1339"/>
      <c r="I22" s="816" t="s">
        <v>388</v>
      </c>
      <c r="J22" s="815"/>
      <c r="K22" s="814"/>
      <c r="L22" s="1337"/>
      <c r="M22" s="1338"/>
      <c r="N22" s="1339"/>
    </row>
    <row r="23" spans="2:15">
      <c r="B23" s="1325" t="s">
        <v>1272</v>
      </c>
      <c r="C23" s="1326"/>
      <c r="D23" s="1327"/>
      <c r="E23" s="1337"/>
      <c r="F23" s="1338"/>
      <c r="G23" s="1339"/>
      <c r="I23" s="816" t="s">
        <v>389</v>
      </c>
      <c r="J23" s="815"/>
      <c r="K23" s="814"/>
      <c r="L23" s="1337"/>
      <c r="M23" s="1338"/>
      <c r="N23" s="1339"/>
    </row>
    <row r="24" spans="2:15">
      <c r="B24" s="1325" t="s">
        <v>1273</v>
      </c>
      <c r="C24" s="1326"/>
      <c r="D24" s="1327"/>
      <c r="E24" s="1337"/>
      <c r="F24" s="1338"/>
      <c r="G24" s="1339"/>
      <c r="I24" s="816" t="s">
        <v>390</v>
      </c>
      <c r="J24" s="815"/>
      <c r="K24" s="814"/>
      <c r="L24" s="1337"/>
      <c r="M24" s="1338"/>
      <c r="N24" s="1339"/>
    </row>
    <row r="25" spans="2:15">
      <c r="B25" s="1325" t="s">
        <v>1274</v>
      </c>
      <c r="C25" s="1326"/>
      <c r="D25" s="1327"/>
      <c r="E25" s="1337"/>
      <c r="F25" s="1338"/>
      <c r="G25" s="1339"/>
      <c r="H25" s="441">
        <f>IF(E12="Yes",1,0)</f>
        <v>0</v>
      </c>
      <c r="I25" s="1325" t="s">
        <v>812</v>
      </c>
      <c r="J25" s="1326"/>
      <c r="K25" s="1327"/>
      <c r="L25" s="1337"/>
      <c r="M25" s="1338"/>
      <c r="N25" s="1339"/>
    </row>
    <row r="26" spans="2:15">
      <c r="B26" s="1331" t="s">
        <v>65</v>
      </c>
      <c r="C26" s="1332"/>
      <c r="D26" s="1333"/>
      <c r="E26" s="1350"/>
      <c r="F26" s="1351"/>
      <c r="G26" s="1352"/>
      <c r="I26" s="1362" t="s">
        <v>1909</v>
      </c>
      <c r="J26" s="1363"/>
      <c r="K26" s="1364"/>
      <c r="L26" s="1337"/>
      <c r="M26" s="1338"/>
      <c r="N26" s="1339"/>
    </row>
    <row r="27" spans="2:15" ht="12.75" customHeight="1">
      <c r="B27" s="1378" t="s">
        <v>1293</v>
      </c>
      <c r="C27" s="1379"/>
      <c r="D27" s="1380"/>
      <c r="E27" s="1337"/>
      <c r="F27" s="1338"/>
      <c r="G27" s="1339"/>
      <c r="I27" s="1362" t="s">
        <v>1909</v>
      </c>
      <c r="J27" s="1363"/>
      <c r="K27" s="1364"/>
      <c r="L27" s="1337"/>
      <c r="M27" s="1338"/>
      <c r="N27" s="1339"/>
    </row>
    <row r="28" spans="2:15">
      <c r="B28" s="1381" t="s">
        <v>125</v>
      </c>
      <c r="C28" s="1382"/>
      <c r="D28" s="1383"/>
      <c r="E28" s="1337"/>
      <c r="F28" s="1338"/>
      <c r="G28" s="1339"/>
      <c r="I28" s="1343" t="s">
        <v>969</v>
      </c>
      <c r="J28" s="1344"/>
      <c r="K28" s="1345"/>
      <c r="L28" s="1359"/>
      <c r="M28" s="1360"/>
      <c r="N28" s="1361"/>
    </row>
    <row r="29" spans="2:15">
      <c r="B29" s="1331" t="s">
        <v>1534</v>
      </c>
      <c r="C29" s="1332"/>
      <c r="D29" s="1333"/>
      <c r="E29" s="1337"/>
      <c r="F29" s="1338"/>
      <c r="G29" s="1339"/>
      <c r="I29" s="1325" t="s">
        <v>391</v>
      </c>
      <c r="J29" s="1326"/>
      <c r="K29" s="1327"/>
      <c r="L29" s="1337"/>
      <c r="M29" s="1338"/>
      <c r="N29" s="1339"/>
    </row>
    <row r="30" spans="2:15">
      <c r="B30" s="1325" t="s">
        <v>1275</v>
      </c>
      <c r="C30" s="1326"/>
      <c r="D30" s="1327"/>
      <c r="E30" s="1337"/>
      <c r="F30" s="1338"/>
      <c r="G30" s="1339"/>
      <c r="I30" s="1325" t="s">
        <v>392</v>
      </c>
      <c r="J30" s="1326"/>
      <c r="K30" s="1327"/>
      <c r="L30" s="1337"/>
      <c r="M30" s="1338"/>
      <c r="N30" s="1339"/>
    </row>
    <row r="31" spans="2:15">
      <c r="B31" s="1331" t="s">
        <v>811</v>
      </c>
      <c r="C31" s="1332"/>
      <c r="D31" s="1333"/>
      <c r="E31" s="1337"/>
      <c r="F31" s="1338"/>
      <c r="G31" s="1339"/>
      <c r="I31" s="1325" t="s">
        <v>393</v>
      </c>
      <c r="J31" s="1326"/>
      <c r="K31" s="1327"/>
      <c r="L31" s="1337"/>
      <c r="M31" s="1338"/>
      <c r="N31" s="1339"/>
    </row>
    <row r="32" spans="2:15">
      <c r="B32" s="1331" t="s">
        <v>256</v>
      </c>
      <c r="C32" s="1332"/>
      <c r="D32" s="1333"/>
      <c r="E32" s="1375" t="str">
        <f>IF('Sources&amp;Uses'!F41=0,"",ROUNDUP(('Primary Input'!E21*'Primary Input'!J21)/'Sources&amp;Uses'!F41,0))</f>
        <v/>
      </c>
      <c r="F32" s="1376"/>
      <c r="G32" s="1377"/>
      <c r="I32" s="1325" t="s">
        <v>394</v>
      </c>
      <c r="J32" s="1326"/>
      <c r="K32" s="1327"/>
      <c r="L32" s="1334"/>
      <c r="M32" s="1335"/>
      <c r="N32" s="1336"/>
    </row>
    <row r="33" spans="2:15">
      <c r="B33" s="1331" t="s">
        <v>2020</v>
      </c>
      <c r="C33" s="1332"/>
      <c r="D33" s="1333"/>
      <c r="E33" s="1337"/>
      <c r="F33" s="1338"/>
      <c r="G33" s="1339"/>
      <c r="O33" s="1150" t="s">
        <v>91</v>
      </c>
    </row>
    <row r="34" spans="2:15">
      <c r="B34" s="1331" t="s">
        <v>2021</v>
      </c>
      <c r="C34" s="1332"/>
      <c r="D34" s="1333"/>
      <c r="E34" s="1337"/>
      <c r="F34" s="1338"/>
      <c r="G34" s="1339"/>
      <c r="O34" s="1150" t="s">
        <v>92</v>
      </c>
    </row>
    <row r="35" spans="2:15">
      <c r="B35" s="1331" t="s">
        <v>2022</v>
      </c>
      <c r="C35" s="1332"/>
      <c r="D35" s="1371"/>
      <c r="E35" s="1372"/>
      <c r="F35" s="1373"/>
      <c r="G35" s="1374"/>
      <c r="O35" s="1150" t="s">
        <v>1561</v>
      </c>
    </row>
    <row r="36" spans="2:15" ht="36.75" customHeight="1">
      <c r="D36" s="1365" t="s">
        <v>2023</v>
      </c>
      <c r="E36" s="1366"/>
      <c r="F36" s="1366"/>
      <c r="G36" s="1366"/>
      <c r="H36" s="1366"/>
      <c r="I36" s="1366"/>
      <c r="J36" s="1366"/>
      <c r="K36" s="1366"/>
      <c r="L36" s="1366"/>
      <c r="M36" s="1367"/>
      <c r="N36" s="1146"/>
    </row>
    <row r="37" spans="2:15" ht="37.5" customHeight="1">
      <c r="D37" s="1368" t="s">
        <v>2024</v>
      </c>
      <c r="E37" s="1369"/>
      <c r="F37" s="1369"/>
      <c r="G37" s="1369"/>
      <c r="H37" s="1369"/>
      <c r="I37" s="1369"/>
      <c r="J37" s="1369"/>
      <c r="K37" s="1369"/>
      <c r="L37" s="1369"/>
      <c r="M37" s="1370"/>
      <c r="N37" s="1146"/>
    </row>
  </sheetData>
  <sheetProtection password="CCBC" sheet="1"/>
  <mergeCells count="101">
    <mergeCell ref="L31:N31"/>
    <mergeCell ref="I31:K31"/>
    <mergeCell ref="I30:K30"/>
    <mergeCell ref="L30:N30"/>
    <mergeCell ref="B20:D20"/>
    <mergeCell ref="D36:M36"/>
    <mergeCell ref="D37:M37"/>
    <mergeCell ref="B33:D33"/>
    <mergeCell ref="E33:G33"/>
    <mergeCell ref="B34:D34"/>
    <mergeCell ref="E34:G34"/>
    <mergeCell ref="B35:D35"/>
    <mergeCell ref="E35:G35"/>
    <mergeCell ref="L32:N32"/>
    <mergeCell ref="B32:D32"/>
    <mergeCell ref="E32:G32"/>
    <mergeCell ref="L25:N25"/>
    <mergeCell ref="L23:N23"/>
    <mergeCell ref="I32:K32"/>
    <mergeCell ref="B27:D27"/>
    <mergeCell ref="B31:D31"/>
    <mergeCell ref="E31:G31"/>
    <mergeCell ref="B28:D28"/>
    <mergeCell ref="B29:D29"/>
    <mergeCell ref="L27:N27"/>
    <mergeCell ref="I27:K27"/>
    <mergeCell ref="L29:N29"/>
    <mergeCell ref="L28:N28"/>
    <mergeCell ref="L22:N22"/>
    <mergeCell ref="I28:K28"/>
    <mergeCell ref="L24:N24"/>
    <mergeCell ref="E28:G28"/>
    <mergeCell ref="E19:G19"/>
    <mergeCell ref="E27:G27"/>
    <mergeCell ref="I29:K29"/>
    <mergeCell ref="E29:G29"/>
    <mergeCell ref="I26:K26"/>
    <mergeCell ref="L26:N26"/>
    <mergeCell ref="I25:K25"/>
    <mergeCell ref="E22:G22"/>
    <mergeCell ref="L20:N20"/>
    <mergeCell ref="L21:N21"/>
    <mergeCell ref="B3:D3"/>
    <mergeCell ref="E3:G3"/>
    <mergeCell ref="E4:G4"/>
    <mergeCell ref="I7:K7"/>
    <mergeCell ref="L7:N7"/>
    <mergeCell ref="B5:D5"/>
    <mergeCell ref="I5:K5"/>
    <mergeCell ref="L5:N5"/>
    <mergeCell ref="E6:G6"/>
    <mergeCell ref="B6:D6"/>
    <mergeCell ref="B4:D4"/>
    <mergeCell ref="I4:K4"/>
    <mergeCell ref="L4:N4"/>
    <mergeCell ref="E5:G5"/>
    <mergeCell ref="I3:K3"/>
    <mergeCell ref="L3:N3"/>
    <mergeCell ref="L6:N6"/>
    <mergeCell ref="I6:K6"/>
    <mergeCell ref="L18:N18"/>
    <mergeCell ref="L19:N19"/>
    <mergeCell ref="E20:G20"/>
    <mergeCell ref="E8:G8"/>
    <mergeCell ref="E9:G9"/>
    <mergeCell ref="E12:G12"/>
    <mergeCell ref="E10:G10"/>
    <mergeCell ref="E15:G15"/>
    <mergeCell ref="E11:G11"/>
    <mergeCell ref="L17:N17"/>
    <mergeCell ref="I12:K12"/>
    <mergeCell ref="L12:N12"/>
    <mergeCell ref="L11:N11"/>
    <mergeCell ref="I11:K11"/>
    <mergeCell ref="L15:N15"/>
    <mergeCell ref="L14:N14"/>
    <mergeCell ref="I9:K9"/>
    <mergeCell ref="L9:N9"/>
    <mergeCell ref="L16:N16"/>
    <mergeCell ref="I10:K10"/>
    <mergeCell ref="L10:N10"/>
    <mergeCell ref="I8:K8"/>
    <mergeCell ref="L8:N8"/>
    <mergeCell ref="B30:D30"/>
    <mergeCell ref="E30:G30"/>
    <mergeCell ref="B26:D26"/>
    <mergeCell ref="E18:G18"/>
    <mergeCell ref="E13:G13"/>
    <mergeCell ref="B22:D22"/>
    <mergeCell ref="B19:D19"/>
    <mergeCell ref="E16:G16"/>
    <mergeCell ref="B21:D21"/>
    <mergeCell ref="E21:G21"/>
    <mergeCell ref="B18:D18"/>
    <mergeCell ref="B23:D23"/>
    <mergeCell ref="E23:G23"/>
    <mergeCell ref="B24:D24"/>
    <mergeCell ref="E24:G24"/>
    <mergeCell ref="B25:D25"/>
    <mergeCell ref="E25:G25"/>
    <mergeCell ref="E26:G26"/>
  </mergeCells>
  <phoneticPr fontId="0" type="noConversion"/>
  <dataValidations xWindow="424" yWindow="592" count="2">
    <dataValidation type="list" allowBlank="1" showInputMessage="1" showErrorMessage="1" sqref="E27:G31 E21:G25 E8:E9 E4:G5 E15:E16 E19:G19 L4:N27 E12 E33:G33 E35:G35" xr:uid="{00000000-0002-0000-0200-000000000000}">
      <formula1>$AF$7:$AF$9</formula1>
    </dataValidation>
    <dataValidation type="list" allowBlank="1" showInputMessage="1" showErrorMessage="1" sqref="N36:N37" xr:uid="{00000000-0002-0000-0200-000001000000}">
      <formula1>$O$32:$O$35</formula1>
    </dataValidation>
  </dataValidations>
  <hyperlinks>
    <hyperlink ref="B28:D28" r:id="rId1" display="   Property located in a RURAL area?" xr:uid="{00000000-0004-0000-0200-000000000000}"/>
  </hyperlinks>
  <pageMargins left="0.75" right="0.75" top="1" bottom="1" header="0.5" footer="0.5"/>
  <pageSetup scale="83" orientation="landscape" horizontalDpi="360" verticalDpi="360" r:id="rId2"/>
  <headerFooter alignWithMargins="0"/>
  <drawing r:id="rId3"/>
  <legacyDrawing r:id="rId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3"/>
  <dimension ref="A1:K42"/>
  <sheetViews>
    <sheetView workbookViewId="0">
      <selection activeCell="L5" sqref="L5"/>
    </sheetView>
  </sheetViews>
  <sheetFormatPr baseColWidth="10" defaultColWidth="9.1640625" defaultRowHeight="13"/>
  <cols>
    <col min="1" max="1" width="1.6640625" style="1" customWidth="1"/>
    <col min="2" max="4" width="9.1640625" style="1"/>
    <col min="5" max="6" width="11.6640625" style="1" customWidth="1"/>
    <col min="7" max="10" width="9.1640625" style="1"/>
    <col min="11" max="11" width="1.6640625" style="1" customWidth="1"/>
    <col min="12" max="16384" width="9.1640625" style="1"/>
  </cols>
  <sheetData>
    <row r="1" spans="1:11">
      <c r="A1" s="381" t="s">
        <v>475</v>
      </c>
      <c r="H1" s="879">
        <f>+Name</f>
        <v>0</v>
      </c>
      <c r="J1" s="916" t="e">
        <f>+'Appendix 13'!I1</f>
        <v>#N/A</v>
      </c>
    </row>
    <row r="2" spans="1:11" ht="18">
      <c r="A2" s="720" t="s">
        <v>1208</v>
      </c>
      <c r="B2" s="726"/>
      <c r="C2" s="726"/>
      <c r="D2" s="726"/>
      <c r="E2" s="726"/>
      <c r="F2" s="726"/>
      <c r="G2" s="726"/>
      <c r="H2" s="726"/>
      <c r="I2" s="726"/>
      <c r="J2" s="727"/>
      <c r="K2" s="721"/>
    </row>
    <row r="3" spans="1:11" ht="18">
      <c r="A3" s="730"/>
      <c r="B3" s="730"/>
      <c r="C3" s="730"/>
      <c r="D3" s="730"/>
      <c r="E3" s="730"/>
      <c r="F3" s="730"/>
      <c r="G3" s="730"/>
      <c r="H3" s="730"/>
      <c r="I3" s="730"/>
      <c r="J3" s="644"/>
      <c r="K3" s="644"/>
    </row>
    <row r="4" spans="1:11" ht="18">
      <c r="A4" s="730"/>
      <c r="B4" s="730"/>
      <c r="C4" s="730"/>
      <c r="D4" s="730"/>
      <c r="E4" s="730"/>
      <c r="F4" s="738"/>
      <c r="G4" s="738"/>
      <c r="H4" s="738"/>
      <c r="I4" s="738"/>
      <c r="J4" s="737"/>
      <c r="K4" s="644"/>
    </row>
    <row r="5" spans="1:11">
      <c r="A5" s="644"/>
      <c r="B5" s="644"/>
      <c r="C5" s="644"/>
      <c r="D5" s="644"/>
      <c r="E5" s="644"/>
      <c r="F5" s="737"/>
      <c r="G5" s="737"/>
      <c r="H5" s="737"/>
      <c r="I5" s="737"/>
      <c r="J5" s="737"/>
      <c r="K5" s="644"/>
    </row>
    <row r="6" spans="1:11">
      <c r="A6" s="644" t="s">
        <v>189</v>
      </c>
      <c r="B6" s="644"/>
      <c r="C6" s="644"/>
      <c r="D6" s="644"/>
      <c r="E6" s="644"/>
      <c r="F6" s="737"/>
      <c r="G6" s="737"/>
      <c r="H6" s="737"/>
      <c r="I6" s="737"/>
      <c r="J6" s="737"/>
      <c r="K6" s="644"/>
    </row>
    <row r="7" spans="1:11">
      <c r="A7" s="644" t="s">
        <v>2015</v>
      </c>
      <c r="B7" s="644"/>
      <c r="C7" s="644"/>
      <c r="D7" s="644"/>
      <c r="E7" s="644"/>
      <c r="F7" s="737"/>
      <c r="G7" s="737"/>
      <c r="H7" s="737"/>
      <c r="I7" s="737"/>
      <c r="J7" s="737"/>
      <c r="K7" s="644"/>
    </row>
    <row r="8" spans="1:11">
      <c r="A8" s="644" t="s">
        <v>4</v>
      </c>
      <c r="B8" s="644"/>
      <c r="C8" s="644"/>
      <c r="D8" s="644"/>
      <c r="E8" s="644"/>
      <c r="F8" s="737"/>
      <c r="G8" s="737"/>
      <c r="H8" s="737"/>
      <c r="I8" s="737"/>
      <c r="J8" s="737"/>
      <c r="K8" s="644"/>
    </row>
    <row r="9" spans="1:11">
      <c r="A9" s="644" t="s">
        <v>3</v>
      </c>
      <c r="B9" s="644"/>
      <c r="C9" s="644"/>
      <c r="D9" s="644"/>
      <c r="E9" s="644"/>
      <c r="F9" s="737"/>
      <c r="G9" s="737"/>
      <c r="H9" s="737"/>
      <c r="I9" s="737"/>
      <c r="J9" s="737"/>
      <c r="K9" s="644"/>
    </row>
    <row r="10" spans="1:11">
      <c r="A10" s="644"/>
      <c r="B10" s="644"/>
      <c r="C10" s="644"/>
      <c r="D10" s="644"/>
      <c r="E10" s="644"/>
      <c r="F10" s="737"/>
      <c r="G10" s="737"/>
      <c r="H10" s="737"/>
      <c r="I10" s="737"/>
      <c r="J10" s="737"/>
      <c r="K10" s="644"/>
    </row>
    <row r="11" spans="1:11" ht="15.75" customHeight="1">
      <c r="A11" s="644"/>
      <c r="B11" s="644" t="s">
        <v>365</v>
      </c>
      <c r="C11" s="644"/>
      <c r="D11" s="644"/>
      <c r="E11" s="644"/>
      <c r="F11" s="737"/>
      <c r="G11" s="737"/>
      <c r="H11" s="737"/>
      <c r="I11" s="737"/>
      <c r="J11" s="737"/>
      <c r="K11" s="644"/>
    </row>
    <row r="12" spans="1:11">
      <c r="A12" s="644"/>
      <c r="B12" s="644" t="s">
        <v>366</v>
      </c>
      <c r="C12" s="644"/>
      <c r="D12" s="644"/>
      <c r="E12" s="644"/>
      <c r="F12" s="737"/>
      <c r="G12" s="737"/>
      <c r="H12" s="737"/>
      <c r="I12" s="737"/>
      <c r="J12" s="737"/>
      <c r="K12" s="644"/>
    </row>
    <row r="13" spans="1:11">
      <c r="A13" s="644"/>
      <c r="B13" s="644"/>
      <c r="C13" s="644"/>
      <c r="D13" s="644"/>
      <c r="E13" s="644"/>
      <c r="F13" s="644"/>
      <c r="G13" s="644"/>
      <c r="H13" s="644"/>
      <c r="I13" s="644"/>
      <c r="J13" s="644"/>
      <c r="K13" s="644"/>
    </row>
    <row r="14" spans="1:11">
      <c r="A14" s="644"/>
      <c r="B14" s="644"/>
      <c r="C14" s="644"/>
      <c r="D14" s="644"/>
      <c r="E14" s="644"/>
      <c r="F14" s="644"/>
      <c r="G14" s="644"/>
      <c r="H14" s="644"/>
      <c r="I14" s="644"/>
      <c r="J14" s="644"/>
      <c r="K14" s="644"/>
    </row>
    <row r="15" spans="1:11" ht="33" customHeight="1">
      <c r="A15" s="1579" t="s">
        <v>1143</v>
      </c>
      <c r="B15" s="1579"/>
      <c r="C15" s="1579"/>
      <c r="D15" s="1579"/>
      <c r="E15" s="1579"/>
      <c r="F15" s="1579"/>
      <c r="G15" s="1579"/>
      <c r="H15" s="1579"/>
      <c r="I15" s="1579"/>
      <c r="J15" s="1579"/>
      <c r="K15" s="1579"/>
    </row>
    <row r="16" spans="1:11">
      <c r="A16" s="731"/>
      <c r="B16" s="731"/>
      <c r="C16" s="731"/>
      <c r="D16" s="731"/>
      <c r="E16" s="731"/>
      <c r="F16" s="731"/>
      <c r="G16" s="731"/>
      <c r="H16" s="731"/>
      <c r="I16" s="731"/>
      <c r="J16" s="644"/>
      <c r="K16" s="644"/>
    </row>
    <row r="17" spans="1:11">
      <c r="A17" s="731"/>
      <c r="B17" s="731"/>
      <c r="C17" s="731"/>
      <c r="D17" s="731"/>
      <c r="E17" s="731"/>
      <c r="F17" s="731"/>
      <c r="G17" s="731"/>
      <c r="H17" s="731"/>
      <c r="I17" s="731"/>
      <c r="J17" s="644"/>
      <c r="K17" s="644"/>
    </row>
    <row r="18" spans="1:11">
      <c r="A18" s="731"/>
      <c r="B18" s="731"/>
      <c r="C18" s="731"/>
      <c r="D18" s="731"/>
      <c r="E18" s="731"/>
      <c r="F18" s="731"/>
      <c r="G18" s="731"/>
      <c r="H18" s="731"/>
      <c r="I18" s="731"/>
      <c r="J18" s="644"/>
      <c r="K18" s="644"/>
    </row>
    <row r="19" spans="1:11" ht="38.25" customHeight="1">
      <c r="A19" s="1579" t="s">
        <v>290</v>
      </c>
      <c r="B19" s="1579"/>
      <c r="C19" s="1579"/>
      <c r="D19" s="1579"/>
      <c r="E19" s="1579"/>
      <c r="F19" s="1579"/>
      <c r="G19" s="1579"/>
      <c r="H19" s="1579"/>
      <c r="I19" s="1579"/>
      <c r="J19" s="1579"/>
      <c r="K19" s="1579"/>
    </row>
    <row r="20" spans="1:11">
      <c r="A20" s="731"/>
      <c r="B20" s="731"/>
      <c r="C20" s="731"/>
      <c r="D20" s="731"/>
      <c r="E20" s="731"/>
      <c r="F20" s="731"/>
      <c r="G20" s="731"/>
      <c r="H20" s="731"/>
      <c r="I20" s="731"/>
      <c r="J20" s="644"/>
      <c r="K20" s="644"/>
    </row>
    <row r="21" spans="1:11">
      <c r="A21" s="731"/>
      <c r="B21" s="731"/>
      <c r="C21" s="731"/>
      <c r="D21" s="731"/>
      <c r="E21" s="731"/>
      <c r="F21" s="731"/>
      <c r="G21" s="731"/>
      <c r="H21" s="731"/>
      <c r="I21" s="731"/>
      <c r="J21" s="644"/>
      <c r="K21" s="644"/>
    </row>
    <row r="22" spans="1:11">
      <c r="A22" s="731"/>
      <c r="B22" s="731"/>
      <c r="C22" s="731"/>
      <c r="D22" s="731"/>
      <c r="E22" s="731"/>
      <c r="F22" s="731"/>
      <c r="G22" s="731"/>
      <c r="H22" s="731"/>
      <c r="I22" s="731"/>
      <c r="J22" s="644"/>
      <c r="K22" s="644"/>
    </row>
    <row r="23" spans="1:11">
      <c r="A23" s="731"/>
      <c r="B23" s="731"/>
      <c r="C23" s="731"/>
      <c r="D23" s="731"/>
      <c r="E23" s="731"/>
      <c r="F23" s="731"/>
      <c r="G23" s="731"/>
      <c r="H23" s="644"/>
      <c r="I23" s="644"/>
      <c r="J23" s="644"/>
      <c r="K23" s="644"/>
    </row>
    <row r="24" spans="1:11" ht="20.25" customHeight="1">
      <c r="A24" s="1579" t="s">
        <v>291</v>
      </c>
      <c r="B24" s="1579"/>
      <c r="C24" s="1579"/>
      <c r="D24" s="1579"/>
      <c r="E24" s="1579"/>
      <c r="F24" s="1579"/>
      <c r="G24" s="1579"/>
      <c r="H24" s="1579"/>
      <c r="I24" s="1579"/>
      <c r="J24" s="1579"/>
      <c r="K24" s="1579"/>
    </row>
    <row r="25" spans="1:11">
      <c r="A25" s="731"/>
      <c r="B25" s="731"/>
      <c r="C25" s="731"/>
      <c r="D25" s="731"/>
      <c r="E25" s="731"/>
      <c r="F25" s="731"/>
      <c r="G25" s="731"/>
      <c r="H25" s="731"/>
      <c r="I25" s="731"/>
      <c r="J25" s="644"/>
      <c r="K25" s="644"/>
    </row>
    <row r="26" spans="1:11">
      <c r="A26" s="731"/>
      <c r="B26" s="731"/>
      <c r="C26" s="731"/>
      <c r="D26" s="731"/>
      <c r="E26" s="731"/>
      <c r="F26" s="731"/>
      <c r="G26" s="731"/>
      <c r="H26" s="731"/>
      <c r="I26" s="731"/>
      <c r="J26" s="644"/>
      <c r="K26" s="644"/>
    </row>
    <row r="27" spans="1:11">
      <c r="A27" s="731"/>
      <c r="B27" s="731"/>
      <c r="C27" s="731"/>
      <c r="D27" s="731"/>
      <c r="E27" s="731"/>
      <c r="F27" s="731"/>
      <c r="G27" s="731"/>
      <c r="H27" s="644"/>
      <c r="I27" s="644"/>
      <c r="J27" s="644"/>
      <c r="K27" s="644"/>
    </row>
    <row r="28" spans="1:11">
      <c r="A28" s="731"/>
      <c r="B28" s="731"/>
      <c r="C28" s="731"/>
      <c r="D28" s="644"/>
      <c r="E28" s="731"/>
      <c r="F28" s="644" t="s">
        <v>292</v>
      </c>
      <c r="G28" s="644"/>
      <c r="H28" s="731"/>
      <c r="I28" s="644"/>
      <c r="J28" s="644"/>
      <c r="K28" s="644"/>
    </row>
    <row r="29" spans="1:11">
      <c r="A29" s="644"/>
      <c r="B29" s="644"/>
      <c r="C29" s="644"/>
      <c r="D29" s="644"/>
      <c r="E29" s="644"/>
      <c r="F29" s="644"/>
      <c r="G29" s="644"/>
      <c r="H29" s="644"/>
      <c r="I29" s="644"/>
      <c r="J29" s="644"/>
      <c r="K29" s="644"/>
    </row>
    <row r="30" spans="1:11">
      <c r="A30" s="644"/>
      <c r="B30" s="644"/>
      <c r="C30" s="644"/>
      <c r="D30" s="644"/>
      <c r="E30" s="724" t="s">
        <v>1882</v>
      </c>
      <c r="F30" s="725"/>
      <c r="G30" s="725"/>
      <c r="H30" s="725"/>
      <c r="I30" s="644"/>
      <c r="J30" s="644"/>
      <c r="K30" s="644"/>
    </row>
    <row r="31" spans="1:11">
      <c r="A31" s="644"/>
      <c r="B31" s="644"/>
      <c r="C31" s="644"/>
      <c r="D31" s="644"/>
      <c r="E31" s="724" t="s">
        <v>1997</v>
      </c>
      <c r="F31" s="732"/>
      <c r="G31" s="732"/>
      <c r="H31" s="732"/>
      <c r="I31" s="644"/>
      <c r="J31" s="644"/>
      <c r="K31" s="644"/>
    </row>
    <row r="32" spans="1:11">
      <c r="A32" s="644"/>
      <c r="B32" s="644"/>
      <c r="C32" s="644"/>
      <c r="D32" s="644"/>
      <c r="E32" s="724" t="s">
        <v>1507</v>
      </c>
      <c r="F32" s="732"/>
      <c r="G32" s="732"/>
      <c r="H32" s="732"/>
      <c r="I32" s="644"/>
      <c r="J32" s="644"/>
      <c r="K32" s="644"/>
    </row>
    <row r="33" spans="1:11">
      <c r="A33" s="644"/>
      <c r="B33" s="644"/>
      <c r="C33" s="644"/>
      <c r="D33" s="644"/>
      <c r="E33" s="724" t="s">
        <v>211</v>
      </c>
      <c r="F33" s="732"/>
      <c r="G33" s="732"/>
      <c r="H33" s="732"/>
      <c r="I33" s="644"/>
      <c r="J33" s="644"/>
      <c r="K33" s="644"/>
    </row>
    <row r="34" spans="1:11">
      <c r="A34" s="644"/>
      <c r="B34" s="644"/>
      <c r="C34" s="644"/>
      <c r="D34" s="644"/>
      <c r="E34" s="644"/>
      <c r="F34" s="644"/>
      <c r="G34" s="644"/>
      <c r="H34" s="644"/>
      <c r="I34" s="644"/>
      <c r="J34" s="644"/>
      <c r="K34" s="644"/>
    </row>
    <row r="35" spans="1:11">
      <c r="A35" s="644"/>
      <c r="B35" s="644"/>
      <c r="C35" s="644"/>
      <c r="D35" s="644"/>
      <c r="E35" s="644"/>
      <c r="F35" s="644"/>
      <c r="G35" s="644"/>
      <c r="H35" s="644"/>
      <c r="I35" s="644"/>
      <c r="J35" s="644"/>
      <c r="K35" s="644"/>
    </row>
    <row r="36" spans="1:11">
      <c r="A36" s="644"/>
      <c r="B36" s="644"/>
      <c r="C36" s="644"/>
      <c r="D36" s="644"/>
      <c r="E36" s="644"/>
      <c r="F36" s="644" t="s">
        <v>365</v>
      </c>
      <c r="G36" s="644"/>
      <c r="H36" s="644"/>
      <c r="I36" s="644"/>
      <c r="J36" s="644"/>
      <c r="K36" s="644"/>
    </row>
    <row r="37" spans="1:11">
      <c r="A37" s="644"/>
      <c r="B37" s="644"/>
      <c r="C37" s="644"/>
      <c r="D37" s="644"/>
      <c r="E37" s="644"/>
      <c r="F37" s="644"/>
      <c r="G37" s="644"/>
      <c r="H37" s="644"/>
      <c r="I37" s="644"/>
      <c r="J37" s="644"/>
      <c r="K37" s="644"/>
    </row>
    <row r="38" spans="1:11">
      <c r="A38" s="644"/>
      <c r="B38" s="644"/>
      <c r="C38" s="644"/>
      <c r="D38" s="644"/>
      <c r="E38" s="724" t="s">
        <v>1882</v>
      </c>
      <c r="F38" s="725"/>
      <c r="G38" s="725"/>
      <c r="H38" s="725"/>
      <c r="I38" s="644"/>
      <c r="J38" s="644"/>
      <c r="K38" s="644"/>
    </row>
    <row r="39" spans="1:11">
      <c r="A39" s="644"/>
      <c r="B39" s="644"/>
      <c r="C39" s="644"/>
      <c r="D39" s="644"/>
      <c r="E39" s="724" t="s">
        <v>1997</v>
      </c>
      <c r="F39" s="732"/>
      <c r="G39" s="732"/>
      <c r="H39" s="732"/>
      <c r="I39" s="644"/>
      <c r="J39" s="644"/>
      <c r="K39" s="644"/>
    </row>
    <row r="40" spans="1:11">
      <c r="A40" s="644"/>
      <c r="B40" s="644"/>
      <c r="C40" s="644"/>
      <c r="D40" s="644"/>
      <c r="E40" s="724" t="s">
        <v>1507</v>
      </c>
      <c r="F40" s="732"/>
      <c r="G40" s="732"/>
      <c r="H40" s="732"/>
      <c r="I40" s="644"/>
      <c r="J40" s="644"/>
      <c r="K40" s="644"/>
    </row>
    <row r="41" spans="1:11">
      <c r="A41" s="644"/>
      <c r="B41" s="644"/>
      <c r="C41" s="644"/>
      <c r="D41" s="644"/>
      <c r="E41" s="724" t="s">
        <v>211</v>
      </c>
      <c r="F41" s="732"/>
      <c r="G41" s="732"/>
      <c r="H41" s="732"/>
      <c r="I41" s="644"/>
      <c r="J41" s="644"/>
      <c r="K41" s="644"/>
    </row>
    <row r="42" spans="1:11">
      <c r="A42" s="644"/>
      <c r="B42" s="644"/>
      <c r="C42" s="644"/>
      <c r="D42" s="644"/>
      <c r="E42" s="644"/>
      <c r="F42" s="644"/>
      <c r="G42" s="644"/>
      <c r="H42" s="644"/>
      <c r="I42" s="644"/>
      <c r="J42" s="644"/>
      <c r="K42" s="644"/>
    </row>
  </sheetData>
  <sheetProtection password="CCBC" sheet="1" objects="1" scenarios="1"/>
  <mergeCells count="3">
    <mergeCell ref="A15:K15"/>
    <mergeCell ref="A19:K19"/>
    <mergeCell ref="A24:K24"/>
  </mergeCells>
  <phoneticPr fontId="51" type="noConversion"/>
  <pageMargins left="0.75" right="0.75" top="1" bottom="1" header="0.5" footer="0.5"/>
  <pageSetup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9"/>
  <dimension ref="A1:I122"/>
  <sheetViews>
    <sheetView zoomScaleNormal="100" workbookViewId="0">
      <selection activeCell="L5" sqref="L5"/>
    </sheetView>
  </sheetViews>
  <sheetFormatPr baseColWidth="10" defaultColWidth="9.1640625" defaultRowHeight="13"/>
  <cols>
    <col min="1" max="1" width="3.6640625" style="190" customWidth="1"/>
    <col min="2" max="9" width="9.1640625" style="190"/>
    <col min="10" max="10" width="3.6640625" style="190" customWidth="1"/>
    <col min="11" max="16384" width="9.1640625" style="190"/>
  </cols>
  <sheetData>
    <row r="1" spans="1:9">
      <c r="A1" s="381" t="s">
        <v>1264</v>
      </c>
      <c r="H1" s="879">
        <f>+Name</f>
        <v>0</v>
      </c>
      <c r="I1" s="374" t="e">
        <f>Cover!$H$6</f>
        <v>#N/A</v>
      </c>
    </row>
    <row r="2" spans="1:9" ht="11.25" customHeight="1" thickBot="1">
      <c r="B2" s="684"/>
    </row>
    <row r="3" spans="1:9" ht="17" thickTop="1">
      <c r="B3" s="1603" t="s">
        <v>199</v>
      </c>
      <c r="C3" s="1604"/>
      <c r="D3" s="1604"/>
      <c r="E3" s="1604"/>
      <c r="F3" s="1604"/>
      <c r="G3" s="1604"/>
      <c r="H3" s="1604"/>
      <c r="I3" s="1605"/>
    </row>
    <row r="4" spans="1:9" ht="16">
      <c r="B4" s="1606" t="s">
        <v>33</v>
      </c>
      <c r="C4" s="1607"/>
      <c r="D4" s="1607"/>
      <c r="E4" s="1607"/>
      <c r="F4" s="1607"/>
      <c r="G4" s="1607"/>
      <c r="H4" s="1607"/>
      <c r="I4" s="1608"/>
    </row>
    <row r="5" spans="1:9" ht="17" thickBot="1">
      <c r="B5" s="1609" t="s">
        <v>34</v>
      </c>
      <c r="C5" s="1610"/>
      <c r="D5" s="1610"/>
      <c r="E5" s="1610"/>
      <c r="F5" s="1610"/>
      <c r="G5" s="1610"/>
      <c r="H5" s="1610"/>
      <c r="I5" s="1611"/>
    </row>
    <row r="6" spans="1:9" ht="14" thickTop="1"/>
    <row r="8" spans="1:9" ht="16">
      <c r="B8" s="685"/>
      <c r="C8" s="685" t="s">
        <v>35</v>
      </c>
      <c r="D8" s="377"/>
      <c r="E8" s="377"/>
      <c r="F8" s="377"/>
      <c r="G8" s="377"/>
      <c r="H8" s="377"/>
      <c r="I8" s="377"/>
    </row>
    <row r="9" spans="1:9" ht="16">
      <c r="B9" s="685"/>
      <c r="C9" s="685"/>
      <c r="D9" s="377"/>
      <c r="E9" s="377"/>
      <c r="F9" s="377"/>
      <c r="G9" s="377"/>
      <c r="H9" s="377"/>
      <c r="I9" s="377"/>
    </row>
    <row r="10" spans="1:9" ht="16">
      <c r="B10" s="686">
        <v>1</v>
      </c>
      <c r="C10" s="685" t="s">
        <v>36</v>
      </c>
      <c r="D10" s="377"/>
      <c r="E10" s="377"/>
      <c r="F10" s="377"/>
      <c r="G10" s="377"/>
      <c r="H10" s="377"/>
      <c r="I10" s="377"/>
    </row>
    <row r="11" spans="1:9" ht="16">
      <c r="B11" s="685"/>
      <c r="C11" s="685" t="s">
        <v>37</v>
      </c>
      <c r="D11" s="377"/>
      <c r="E11" s="377"/>
      <c r="F11" s="377"/>
      <c r="G11" s="377"/>
      <c r="H11" s="377"/>
      <c r="I11" s="377"/>
    </row>
    <row r="12" spans="1:9" ht="16">
      <c r="B12" s="685"/>
      <c r="C12" s="685"/>
      <c r="D12" s="377"/>
      <c r="E12" s="377"/>
      <c r="F12" s="377"/>
      <c r="G12" s="377"/>
      <c r="H12" s="377"/>
      <c r="I12" s="377"/>
    </row>
    <row r="13" spans="1:9" ht="16">
      <c r="B13" s="686">
        <v>2</v>
      </c>
      <c r="C13" s="685" t="s">
        <v>39</v>
      </c>
      <c r="D13" s="377"/>
      <c r="E13" s="377"/>
      <c r="F13" s="377"/>
      <c r="G13" s="377"/>
      <c r="H13" s="377"/>
      <c r="I13" s="377"/>
    </row>
    <row r="14" spans="1:9" ht="16">
      <c r="B14" s="685"/>
      <c r="C14" s="685" t="s">
        <v>40</v>
      </c>
      <c r="D14" s="377"/>
      <c r="E14" s="377"/>
      <c r="F14" s="377"/>
      <c r="G14" s="377"/>
      <c r="H14" s="377"/>
      <c r="I14" s="377"/>
    </row>
    <row r="15" spans="1:9" ht="16">
      <c r="B15" s="685"/>
      <c r="C15" s="685" t="s">
        <v>41</v>
      </c>
      <c r="D15" s="377"/>
      <c r="E15" s="377"/>
      <c r="F15" s="377"/>
      <c r="G15" s="377"/>
      <c r="H15" s="377"/>
      <c r="I15" s="377"/>
    </row>
    <row r="16" spans="1:9" ht="16">
      <c r="B16" s="685"/>
      <c r="C16" s="685" t="s">
        <v>1151</v>
      </c>
      <c r="D16" s="377"/>
      <c r="E16" s="377"/>
      <c r="F16" s="377"/>
      <c r="G16" s="377"/>
      <c r="H16" s="377"/>
      <c r="I16" s="377"/>
    </row>
    <row r="17" spans="2:9" ht="16">
      <c r="B17" s="685"/>
      <c r="C17" s="685" t="s">
        <v>972</v>
      </c>
      <c r="D17" s="377"/>
      <c r="E17" s="377"/>
      <c r="F17" s="377"/>
      <c r="G17" s="377"/>
      <c r="H17" s="377"/>
      <c r="I17" s="377"/>
    </row>
    <row r="18" spans="2:9" ht="16">
      <c r="B18" s="685"/>
      <c r="C18" s="685" t="s">
        <v>994</v>
      </c>
      <c r="D18" s="377"/>
      <c r="E18" s="377"/>
      <c r="F18" s="377"/>
      <c r="G18" s="377"/>
      <c r="H18" s="377"/>
      <c r="I18" s="377"/>
    </row>
    <row r="19" spans="2:9" ht="16">
      <c r="B19" s="685"/>
      <c r="C19" s="685" t="s">
        <v>2052</v>
      </c>
      <c r="D19" s="377"/>
      <c r="E19" s="377"/>
      <c r="F19" s="377"/>
      <c r="G19" s="377"/>
      <c r="H19" s="377"/>
      <c r="I19" s="377"/>
    </row>
    <row r="20" spans="2:9" ht="16">
      <c r="B20" s="685"/>
      <c r="C20" s="685" t="s">
        <v>995</v>
      </c>
      <c r="D20" s="377"/>
      <c r="E20" s="377"/>
      <c r="F20" s="377"/>
      <c r="G20" s="377"/>
      <c r="H20" s="377"/>
      <c r="I20" s="377"/>
    </row>
    <row r="21" spans="2:9" ht="16">
      <c r="B21" s="685"/>
      <c r="C21" s="685" t="s">
        <v>996</v>
      </c>
      <c r="D21" s="377"/>
      <c r="E21" s="377"/>
      <c r="F21" s="377"/>
      <c r="G21" s="377"/>
      <c r="H21" s="377"/>
      <c r="I21" s="377"/>
    </row>
    <row r="22" spans="2:9" ht="16">
      <c r="B22" s="685"/>
      <c r="C22" s="685"/>
      <c r="D22" s="377"/>
      <c r="E22" s="377"/>
      <c r="F22" s="377"/>
      <c r="G22" s="377"/>
      <c r="H22" s="377"/>
      <c r="I22" s="377"/>
    </row>
    <row r="23" spans="2:9" ht="16">
      <c r="B23" s="686">
        <v>3</v>
      </c>
      <c r="C23" s="685" t="s">
        <v>997</v>
      </c>
      <c r="D23" s="377"/>
      <c r="E23" s="377"/>
      <c r="F23" s="377"/>
      <c r="G23" s="377"/>
      <c r="H23" s="377"/>
      <c r="I23" s="377"/>
    </row>
    <row r="24" spans="2:9" ht="16">
      <c r="B24" s="685"/>
      <c r="C24" s="685" t="s">
        <v>998</v>
      </c>
      <c r="D24" s="377"/>
      <c r="E24" s="377"/>
      <c r="F24" s="377"/>
      <c r="G24" s="377"/>
      <c r="H24" s="377"/>
      <c r="I24" s="377"/>
    </row>
    <row r="25" spans="2:9" ht="16">
      <c r="B25" s="685"/>
      <c r="C25" s="685" t="s">
        <v>999</v>
      </c>
      <c r="D25" s="377"/>
      <c r="E25" s="377"/>
      <c r="F25" s="377"/>
      <c r="G25" s="377"/>
      <c r="H25" s="377"/>
      <c r="I25" s="377"/>
    </row>
    <row r="26" spans="2:9" ht="16">
      <c r="B26" s="685"/>
      <c r="C26" s="685" t="s">
        <v>1000</v>
      </c>
      <c r="D26" s="377"/>
      <c r="E26" s="377"/>
      <c r="F26" s="377"/>
      <c r="G26" s="377"/>
      <c r="H26" s="377"/>
      <c r="I26" s="377"/>
    </row>
    <row r="27" spans="2:9" ht="16">
      <c r="B27" s="685"/>
      <c r="C27" s="685" t="s">
        <v>1001</v>
      </c>
      <c r="D27" s="377"/>
      <c r="E27" s="377"/>
      <c r="F27" s="377"/>
      <c r="G27" s="377"/>
      <c r="H27" s="377"/>
      <c r="I27" s="377"/>
    </row>
    <row r="28" spans="2:9" ht="16">
      <c r="B28" s="685"/>
      <c r="C28" s="685"/>
      <c r="D28" s="377"/>
      <c r="E28" s="377"/>
      <c r="F28" s="377"/>
      <c r="G28" s="377"/>
      <c r="H28" s="377"/>
      <c r="I28" s="377"/>
    </row>
    <row r="29" spans="2:9" ht="16">
      <c r="B29" s="686">
        <v>4</v>
      </c>
      <c r="C29" s="685" t="s">
        <v>1002</v>
      </c>
      <c r="D29" s="377"/>
      <c r="E29" s="377"/>
      <c r="F29" s="377"/>
      <c r="G29" s="377"/>
      <c r="H29" s="377"/>
      <c r="I29" s="377"/>
    </row>
    <row r="30" spans="2:9" ht="16">
      <c r="B30" s="685"/>
      <c r="C30" s="685" t="s">
        <v>1003</v>
      </c>
      <c r="D30" s="377"/>
      <c r="E30" s="377"/>
      <c r="F30" s="377"/>
      <c r="G30" s="377"/>
      <c r="H30" s="377"/>
      <c r="I30" s="377"/>
    </row>
    <row r="31" spans="2:9" ht="16">
      <c r="B31" s="685"/>
      <c r="C31" s="685" t="s">
        <v>1004</v>
      </c>
      <c r="D31" s="377"/>
      <c r="E31" s="377"/>
      <c r="F31" s="377"/>
      <c r="G31" s="377"/>
      <c r="H31" s="377"/>
      <c r="I31" s="377"/>
    </row>
    <row r="32" spans="2:9" ht="16">
      <c r="B32" s="685"/>
      <c r="C32" s="685" t="s">
        <v>1879</v>
      </c>
      <c r="D32" s="377"/>
      <c r="E32" s="377"/>
      <c r="F32" s="377"/>
      <c r="G32" s="377"/>
      <c r="H32" s="377"/>
      <c r="I32" s="377"/>
    </row>
    <row r="33" spans="2:9" ht="16">
      <c r="B33" s="685"/>
      <c r="C33" s="685" t="s">
        <v>6</v>
      </c>
      <c r="D33" s="377"/>
      <c r="E33" s="377"/>
      <c r="F33" s="377"/>
      <c r="G33" s="377"/>
      <c r="H33" s="377"/>
      <c r="I33" s="377"/>
    </row>
    <row r="34" spans="2:9" ht="16">
      <c r="B34" s="685"/>
      <c r="C34" s="685" t="s">
        <v>7</v>
      </c>
      <c r="D34" s="377"/>
      <c r="E34" s="377"/>
      <c r="F34" s="377"/>
      <c r="G34" s="377"/>
      <c r="H34" s="377"/>
      <c r="I34" s="377"/>
    </row>
    <row r="35" spans="2:9" ht="16">
      <c r="B35" s="685"/>
      <c r="C35" s="685" t="s">
        <v>8</v>
      </c>
      <c r="D35" s="377"/>
      <c r="E35" s="377"/>
      <c r="F35" s="377"/>
      <c r="G35" s="377"/>
      <c r="H35" s="377"/>
      <c r="I35" s="377"/>
    </row>
    <row r="36" spans="2:9" ht="16">
      <c r="B36" s="685"/>
      <c r="C36" s="685" t="s">
        <v>2053</v>
      </c>
      <c r="D36" s="377"/>
      <c r="E36" s="377"/>
      <c r="F36" s="377"/>
      <c r="G36" s="377"/>
      <c r="H36" s="377"/>
      <c r="I36" s="377"/>
    </row>
    <row r="37" spans="2:9" ht="16">
      <c r="B37" s="685"/>
      <c r="C37" s="685" t="s">
        <v>9</v>
      </c>
      <c r="D37" s="377"/>
      <c r="E37" s="377"/>
      <c r="F37" s="377"/>
      <c r="G37" s="377"/>
      <c r="H37" s="377"/>
      <c r="I37" s="377"/>
    </row>
    <row r="38" spans="2:9" ht="16">
      <c r="B38" s="685"/>
      <c r="C38" s="685"/>
      <c r="D38" s="377"/>
      <c r="E38" s="377"/>
      <c r="F38" s="377"/>
      <c r="G38" s="377"/>
      <c r="H38" s="377"/>
      <c r="I38" s="377"/>
    </row>
    <row r="39" spans="2:9" ht="16">
      <c r="B39" s="686">
        <v>5</v>
      </c>
      <c r="C39" s="685" t="s">
        <v>10</v>
      </c>
      <c r="D39" s="377"/>
      <c r="E39" s="377"/>
      <c r="F39" s="377"/>
      <c r="G39" s="377"/>
      <c r="H39" s="377"/>
      <c r="I39" s="377"/>
    </row>
    <row r="40" spans="2:9" ht="16">
      <c r="B40" s="685"/>
      <c r="C40" s="685" t="s">
        <v>11</v>
      </c>
      <c r="D40" s="377"/>
      <c r="E40" s="377"/>
      <c r="F40" s="377"/>
      <c r="G40" s="377"/>
      <c r="H40" s="377"/>
      <c r="I40" s="377"/>
    </row>
    <row r="41" spans="2:9" ht="16">
      <c r="B41" s="685"/>
      <c r="C41" s="685" t="s">
        <v>12</v>
      </c>
      <c r="D41" s="377"/>
      <c r="E41" s="377"/>
      <c r="F41" s="377"/>
      <c r="G41" s="377"/>
      <c r="H41" s="377"/>
      <c r="I41" s="377"/>
    </row>
    <row r="42" spans="2:9" ht="16">
      <c r="B42" s="685"/>
      <c r="C42" s="685" t="s">
        <v>13</v>
      </c>
      <c r="D42" s="377"/>
      <c r="E42" s="377"/>
      <c r="F42" s="377"/>
      <c r="G42" s="377"/>
      <c r="H42" s="377"/>
      <c r="I42" s="377"/>
    </row>
    <row r="43" spans="2:9" ht="16">
      <c r="B43" s="685"/>
      <c r="C43" s="685" t="s">
        <v>14</v>
      </c>
      <c r="D43" s="377"/>
      <c r="E43" s="377"/>
      <c r="F43" s="377"/>
      <c r="G43" s="377"/>
      <c r="H43" s="377"/>
      <c r="I43" s="377"/>
    </row>
    <row r="44" spans="2:9" ht="16">
      <c r="B44" s="685"/>
      <c r="C44" s="685" t="s">
        <v>1081</v>
      </c>
      <c r="D44" s="377"/>
      <c r="E44" s="377"/>
      <c r="F44" s="377"/>
      <c r="G44" s="377"/>
      <c r="H44" s="377"/>
      <c r="I44" s="377"/>
    </row>
    <row r="45" spans="2:9" ht="16">
      <c r="B45" s="685"/>
      <c r="C45" s="685" t="s">
        <v>2054</v>
      </c>
      <c r="D45" s="377"/>
      <c r="E45" s="377"/>
      <c r="F45" s="377"/>
      <c r="G45" s="377"/>
      <c r="H45" s="377"/>
      <c r="I45" s="377"/>
    </row>
    <row r="46" spans="2:9" ht="16">
      <c r="B46" s="685"/>
      <c r="C46" s="685"/>
      <c r="D46" s="377"/>
      <c r="E46" s="377"/>
      <c r="F46" s="377"/>
      <c r="G46" s="377"/>
      <c r="H46" s="377"/>
      <c r="I46" s="377"/>
    </row>
    <row r="47" spans="2:9" ht="16">
      <c r="B47" s="686">
        <v>6</v>
      </c>
      <c r="C47" s="685" t="s">
        <v>1082</v>
      </c>
      <c r="D47" s="377"/>
      <c r="E47" s="377"/>
      <c r="F47" s="377"/>
      <c r="G47" s="377"/>
      <c r="H47" s="377"/>
      <c r="I47" s="377"/>
    </row>
    <row r="48" spans="2:9" ht="16">
      <c r="B48" s="685"/>
      <c r="C48" s="685" t="s">
        <v>403</v>
      </c>
      <c r="D48" s="377"/>
      <c r="E48" s="377"/>
      <c r="F48" s="377"/>
      <c r="G48" s="377"/>
      <c r="H48" s="377"/>
      <c r="I48" s="377"/>
    </row>
    <row r="49" spans="2:9" ht="16">
      <c r="B49" s="685"/>
      <c r="C49" s="685" t="s">
        <v>404</v>
      </c>
      <c r="D49" s="377"/>
      <c r="E49" s="377"/>
      <c r="F49" s="377"/>
      <c r="G49" s="377"/>
      <c r="H49" s="377"/>
      <c r="I49" s="377"/>
    </row>
    <row r="50" spans="2:9" ht="16">
      <c r="B50" s="685"/>
      <c r="C50" s="685" t="s">
        <v>1419</v>
      </c>
      <c r="D50" s="377"/>
      <c r="E50" s="377"/>
      <c r="F50" s="377"/>
      <c r="G50" s="377"/>
      <c r="H50" s="377"/>
      <c r="I50" s="377"/>
    </row>
    <row r="51" spans="2:9" ht="16">
      <c r="B51" s="685"/>
      <c r="C51" s="685"/>
      <c r="D51" s="377"/>
      <c r="E51" s="377"/>
      <c r="F51" s="377"/>
      <c r="G51" s="377"/>
      <c r="H51" s="377"/>
      <c r="I51" s="377"/>
    </row>
    <row r="52" spans="2:9" ht="16">
      <c r="B52" s="685"/>
      <c r="C52" s="685" t="s">
        <v>1420</v>
      </c>
      <c r="D52" s="377"/>
      <c r="E52" s="377"/>
      <c r="F52" s="377"/>
      <c r="G52" s="377"/>
      <c r="H52" s="377"/>
      <c r="I52" s="377"/>
    </row>
    <row r="53" spans="2:9" ht="16">
      <c r="B53" s="685"/>
      <c r="C53" s="685" t="s">
        <v>1421</v>
      </c>
      <c r="D53" s="377"/>
      <c r="E53" s="377"/>
      <c r="F53" s="377"/>
      <c r="G53" s="377"/>
      <c r="H53" s="377"/>
      <c r="I53" s="377"/>
    </row>
    <row r="54" spans="2:9" ht="16">
      <c r="B54" s="685"/>
      <c r="C54" s="685" t="s">
        <v>1422</v>
      </c>
      <c r="D54" s="377"/>
      <c r="E54" s="377"/>
      <c r="F54" s="377"/>
      <c r="G54" s="377"/>
      <c r="H54" s="377"/>
      <c r="I54" s="377"/>
    </row>
    <row r="55" spans="2:9" ht="16">
      <c r="B55" s="685"/>
      <c r="C55" s="685"/>
      <c r="D55" s="377"/>
      <c r="E55" s="377"/>
      <c r="F55" s="377"/>
      <c r="G55" s="377"/>
      <c r="H55" s="377"/>
      <c r="I55" s="377"/>
    </row>
    <row r="56" spans="2:9" ht="16">
      <c r="B56" s="686">
        <v>7</v>
      </c>
      <c r="C56" s="685" t="s">
        <v>1423</v>
      </c>
      <c r="D56" s="377"/>
      <c r="E56" s="377"/>
      <c r="F56" s="377"/>
      <c r="G56" s="377"/>
      <c r="H56" s="377"/>
      <c r="I56" s="377"/>
    </row>
    <row r="57" spans="2:9" ht="16">
      <c r="B57" s="685"/>
      <c r="C57" s="685" t="s">
        <v>1424</v>
      </c>
      <c r="D57" s="377"/>
      <c r="E57" s="377"/>
      <c r="F57" s="377"/>
      <c r="G57" s="377"/>
      <c r="H57" s="377"/>
      <c r="I57" s="377"/>
    </row>
    <row r="58" spans="2:9" ht="16">
      <c r="B58" s="685"/>
      <c r="C58" s="685" t="s">
        <v>1425</v>
      </c>
      <c r="D58" s="377"/>
      <c r="E58" s="377"/>
      <c r="F58" s="377"/>
      <c r="G58" s="377"/>
      <c r="H58" s="377"/>
      <c r="I58" s="377"/>
    </row>
    <row r="59" spans="2:9" ht="16">
      <c r="B59" s="685"/>
      <c r="C59" s="685" t="s">
        <v>1426</v>
      </c>
      <c r="D59" s="377"/>
      <c r="E59" s="377"/>
      <c r="F59" s="377"/>
      <c r="G59" s="377"/>
      <c r="H59" s="377"/>
      <c r="I59" s="377"/>
    </row>
    <row r="60" spans="2:9" ht="16">
      <c r="B60" s="685"/>
      <c r="C60" s="685" t="s">
        <v>1427</v>
      </c>
      <c r="D60" s="377"/>
      <c r="E60" s="377"/>
      <c r="F60" s="377"/>
      <c r="G60" s="377"/>
      <c r="H60" s="377"/>
      <c r="I60" s="377"/>
    </row>
    <row r="61" spans="2:9" ht="16">
      <c r="B61" s="685"/>
      <c r="C61" s="685" t="s">
        <v>1428</v>
      </c>
      <c r="D61" s="377"/>
      <c r="E61" s="377"/>
      <c r="F61" s="377"/>
      <c r="G61" s="377"/>
      <c r="H61" s="377"/>
      <c r="I61" s="377"/>
    </row>
    <row r="62" spans="2:9" ht="16">
      <c r="B62" s="685"/>
      <c r="C62" s="685" t="s">
        <v>1429</v>
      </c>
      <c r="D62" s="377"/>
      <c r="E62" s="377"/>
      <c r="F62" s="377"/>
      <c r="G62" s="377"/>
      <c r="H62" s="377"/>
      <c r="I62" s="377"/>
    </row>
    <row r="63" spans="2:9" ht="16">
      <c r="B63" s="685"/>
      <c r="C63" s="685" t="s">
        <v>1545</v>
      </c>
      <c r="D63" s="377"/>
      <c r="E63" s="377"/>
      <c r="F63" s="377"/>
      <c r="G63" s="377"/>
      <c r="H63" s="377"/>
      <c r="I63" s="377"/>
    </row>
    <row r="64" spans="2:9" ht="16">
      <c r="B64" s="685"/>
      <c r="C64" s="685" t="s">
        <v>1546</v>
      </c>
      <c r="D64" s="377"/>
      <c r="E64" s="377"/>
      <c r="F64" s="377"/>
      <c r="G64" s="377"/>
      <c r="H64" s="377"/>
      <c r="I64" s="377"/>
    </row>
    <row r="65" spans="2:9" ht="16">
      <c r="B65" s="685"/>
      <c r="C65" s="685"/>
      <c r="D65" s="377"/>
      <c r="E65" s="377"/>
      <c r="F65" s="377"/>
      <c r="G65" s="377"/>
      <c r="H65" s="377"/>
      <c r="I65" s="377"/>
    </row>
    <row r="66" spans="2:9" ht="16">
      <c r="B66" s="686">
        <v>8</v>
      </c>
      <c r="C66" s="685" t="s">
        <v>1547</v>
      </c>
      <c r="D66" s="377"/>
      <c r="E66" s="377"/>
      <c r="F66" s="377"/>
      <c r="G66" s="377"/>
      <c r="H66" s="377"/>
      <c r="I66" s="377"/>
    </row>
    <row r="67" spans="2:9" ht="16">
      <c r="B67" s="685"/>
      <c r="C67" s="685" t="s">
        <v>1548</v>
      </c>
      <c r="D67" s="377"/>
      <c r="E67" s="377"/>
      <c r="F67" s="377"/>
      <c r="G67" s="377"/>
      <c r="H67" s="377"/>
      <c r="I67" s="377"/>
    </row>
    <row r="68" spans="2:9" ht="16">
      <c r="B68" s="685"/>
      <c r="C68" s="685" t="s">
        <v>1549</v>
      </c>
      <c r="D68" s="377"/>
      <c r="E68" s="377"/>
      <c r="F68" s="377"/>
      <c r="G68" s="377"/>
      <c r="H68" s="377"/>
      <c r="I68" s="377"/>
    </row>
    <row r="69" spans="2:9" ht="16">
      <c r="B69" s="685"/>
      <c r="C69" s="685" t="s">
        <v>1550</v>
      </c>
      <c r="D69" s="377"/>
      <c r="E69" s="377"/>
      <c r="F69" s="377"/>
      <c r="G69" s="377"/>
      <c r="H69" s="377"/>
      <c r="I69" s="377"/>
    </row>
    <row r="70" spans="2:9" ht="16">
      <c r="B70" s="685"/>
      <c r="C70" s="685" t="s">
        <v>1849</v>
      </c>
      <c r="D70" s="377"/>
      <c r="E70" s="377"/>
      <c r="F70" s="377"/>
      <c r="G70" s="377"/>
      <c r="H70" s="377"/>
      <c r="I70" s="377"/>
    </row>
    <row r="71" spans="2:9" ht="16">
      <c r="B71" s="685"/>
      <c r="C71" s="685" t="s">
        <v>1850</v>
      </c>
      <c r="D71" s="377"/>
      <c r="E71" s="377"/>
      <c r="F71" s="377"/>
      <c r="G71" s="377"/>
      <c r="H71" s="377"/>
      <c r="I71" s="377"/>
    </row>
    <row r="72" spans="2:9" ht="16">
      <c r="B72" s="685"/>
      <c r="C72" s="685" t="s">
        <v>1851</v>
      </c>
      <c r="D72" s="377"/>
      <c r="E72" s="377"/>
      <c r="F72" s="377"/>
      <c r="G72" s="377"/>
      <c r="H72" s="377"/>
      <c r="I72" s="377"/>
    </row>
    <row r="73" spans="2:9" ht="16">
      <c r="B73" s="685"/>
      <c r="C73" s="685"/>
      <c r="D73" s="377"/>
      <c r="E73" s="377"/>
      <c r="F73" s="377"/>
      <c r="G73" s="377"/>
      <c r="H73" s="377"/>
      <c r="I73" s="377"/>
    </row>
    <row r="74" spans="2:9" ht="16">
      <c r="B74" s="686">
        <v>9</v>
      </c>
      <c r="C74" s="685" t="s">
        <v>1852</v>
      </c>
      <c r="D74" s="377"/>
      <c r="E74" s="377"/>
      <c r="F74" s="377"/>
      <c r="G74" s="377"/>
      <c r="H74" s="377"/>
      <c r="I74" s="377"/>
    </row>
    <row r="75" spans="2:9" ht="16">
      <c r="B75" s="686"/>
      <c r="C75" s="685" t="s">
        <v>1853</v>
      </c>
      <c r="D75" s="377"/>
      <c r="E75" s="377"/>
      <c r="F75" s="377"/>
      <c r="G75" s="377"/>
      <c r="H75" s="377"/>
      <c r="I75" s="377"/>
    </row>
    <row r="76" spans="2:9" ht="16">
      <c r="B76" s="685"/>
      <c r="C76" s="685" t="s">
        <v>1854</v>
      </c>
      <c r="D76" s="377"/>
      <c r="E76" s="377"/>
      <c r="F76" s="377"/>
      <c r="G76" s="377"/>
      <c r="H76" s="377"/>
      <c r="I76" s="377"/>
    </row>
    <row r="77" spans="2:9" ht="16">
      <c r="B77" s="685"/>
      <c r="C77" s="685" t="s">
        <v>1855</v>
      </c>
      <c r="D77" s="377"/>
      <c r="E77" s="377"/>
      <c r="F77" s="377"/>
      <c r="G77" s="377"/>
      <c r="H77" s="377"/>
      <c r="I77" s="377"/>
    </row>
    <row r="78" spans="2:9" ht="16">
      <c r="B78" s="685"/>
      <c r="C78" s="685" t="s">
        <v>1856</v>
      </c>
      <c r="D78" s="377"/>
      <c r="E78" s="377"/>
      <c r="F78" s="377"/>
      <c r="G78" s="377"/>
      <c r="H78" s="377"/>
      <c r="I78" s="377"/>
    </row>
    <row r="79" spans="2:9" ht="16">
      <c r="B79" s="685"/>
      <c r="C79" s="685" t="s">
        <v>1857</v>
      </c>
      <c r="D79" s="377"/>
      <c r="E79" s="377"/>
      <c r="F79" s="377"/>
      <c r="G79" s="377"/>
      <c r="H79" s="377"/>
      <c r="I79" s="377"/>
    </row>
    <row r="80" spans="2:9" ht="16">
      <c r="B80" s="685"/>
      <c r="C80" s="685" t="s">
        <v>1858</v>
      </c>
      <c r="D80" s="377"/>
      <c r="E80" s="377"/>
      <c r="F80" s="377"/>
      <c r="G80" s="377"/>
      <c r="H80" s="377"/>
      <c r="I80" s="377"/>
    </row>
    <row r="81" spans="2:9" ht="16">
      <c r="B81" s="685"/>
      <c r="C81" s="685" t="s">
        <v>2055</v>
      </c>
      <c r="D81" s="377"/>
      <c r="E81" s="377"/>
      <c r="F81" s="377"/>
      <c r="G81" s="377"/>
      <c r="H81" s="377"/>
      <c r="I81" s="377"/>
    </row>
    <row r="82" spans="2:9" ht="16">
      <c r="B82" s="685"/>
      <c r="C82" s="685" t="s">
        <v>1859</v>
      </c>
      <c r="D82" s="377"/>
      <c r="E82" s="377"/>
      <c r="F82" s="377"/>
      <c r="G82" s="377"/>
      <c r="H82" s="377"/>
      <c r="I82" s="377"/>
    </row>
    <row r="83" spans="2:9" ht="16">
      <c r="B83" s="685"/>
      <c r="C83" s="685" t="s">
        <v>1860</v>
      </c>
      <c r="D83" s="377"/>
      <c r="E83" s="377"/>
      <c r="F83" s="377"/>
      <c r="G83" s="377"/>
      <c r="H83" s="377"/>
      <c r="I83" s="377"/>
    </row>
    <row r="84" spans="2:9" ht="16">
      <c r="B84" s="685"/>
      <c r="C84" s="685"/>
      <c r="D84" s="377"/>
      <c r="E84" s="377"/>
      <c r="F84" s="377"/>
      <c r="G84" s="377"/>
      <c r="H84" s="377"/>
      <c r="I84" s="377"/>
    </row>
    <row r="85" spans="2:9" ht="16">
      <c r="B85" s="685"/>
      <c r="C85" s="685" t="s">
        <v>769</v>
      </c>
      <c r="D85" s="377"/>
      <c r="E85" s="377"/>
      <c r="F85" s="377"/>
      <c r="G85" s="377"/>
      <c r="H85" s="377"/>
      <c r="I85" s="377"/>
    </row>
    <row r="86" spans="2:9" ht="16">
      <c r="B86" s="685"/>
      <c r="C86" s="685" t="s">
        <v>770</v>
      </c>
      <c r="D86" s="377"/>
      <c r="E86" s="377"/>
      <c r="F86" s="377"/>
      <c r="G86" s="377"/>
      <c r="H86" s="377"/>
      <c r="I86" s="377"/>
    </row>
    <row r="87" spans="2:9" ht="16">
      <c r="B87" s="685"/>
      <c r="C87" s="685" t="s">
        <v>771</v>
      </c>
      <c r="D87" s="377"/>
      <c r="E87" s="377"/>
      <c r="F87" s="377"/>
      <c r="G87" s="377"/>
      <c r="H87" s="377"/>
      <c r="I87" s="377"/>
    </row>
    <row r="88" spans="2:9" ht="16">
      <c r="B88" s="377"/>
      <c r="C88" s="377"/>
      <c r="D88" s="377"/>
      <c r="E88" s="377"/>
      <c r="F88" s="377"/>
      <c r="G88" s="377"/>
      <c r="H88" s="377"/>
      <c r="I88" s="377"/>
    </row>
    <row r="89" spans="2:9" ht="16">
      <c r="B89" s="686" t="s">
        <v>1024</v>
      </c>
      <c r="C89" s="685" t="s">
        <v>772</v>
      </c>
      <c r="D89" s="377"/>
      <c r="E89" s="377"/>
      <c r="F89" s="377"/>
      <c r="G89" s="377"/>
      <c r="H89" s="377"/>
      <c r="I89" s="377"/>
    </row>
    <row r="90" spans="2:9" ht="16">
      <c r="B90" s="685"/>
      <c r="C90" s="685" t="s">
        <v>1983</v>
      </c>
      <c r="D90" s="377"/>
      <c r="E90" s="377"/>
      <c r="F90" s="377"/>
      <c r="G90" s="377"/>
      <c r="H90" s="377"/>
      <c r="I90" s="377"/>
    </row>
    <row r="91" spans="2:9" ht="16">
      <c r="B91" s="685"/>
      <c r="C91" s="685" t="s">
        <v>1984</v>
      </c>
      <c r="D91" s="377"/>
      <c r="E91" s="377"/>
      <c r="F91" s="377"/>
      <c r="G91" s="377"/>
      <c r="H91" s="377"/>
      <c r="I91" s="377"/>
    </row>
    <row r="92" spans="2:9" ht="16">
      <c r="B92" s="685"/>
      <c r="C92" s="685" t="s">
        <v>1985</v>
      </c>
      <c r="D92" s="377"/>
      <c r="E92" s="377"/>
      <c r="F92" s="377"/>
      <c r="G92" s="377"/>
      <c r="H92" s="377"/>
      <c r="I92" s="377"/>
    </row>
    <row r="93" spans="2:9" ht="16">
      <c r="B93" s="685"/>
      <c r="C93" s="685" t="s">
        <v>2056</v>
      </c>
      <c r="D93" s="377"/>
      <c r="E93" s="377"/>
      <c r="F93" s="377"/>
      <c r="G93" s="377"/>
      <c r="H93" s="377"/>
      <c r="I93" s="377"/>
    </row>
    <row r="94" spans="2:9" ht="16">
      <c r="B94" s="685"/>
      <c r="C94" s="685"/>
      <c r="D94" s="377"/>
      <c r="E94" s="377"/>
      <c r="F94" s="377"/>
      <c r="G94" s="377"/>
      <c r="H94" s="377"/>
      <c r="I94" s="377"/>
    </row>
    <row r="95" spans="2:9" ht="125.25" customHeight="1">
      <c r="B95" s="1119" t="s">
        <v>1025</v>
      </c>
      <c r="C95" s="1612" t="s">
        <v>2057</v>
      </c>
      <c r="D95" s="1612"/>
      <c r="E95" s="1612"/>
      <c r="F95" s="1612"/>
      <c r="G95" s="1612"/>
      <c r="H95" s="1612"/>
      <c r="I95" s="377"/>
    </row>
    <row r="96" spans="2:9" ht="16">
      <c r="B96" s="685"/>
      <c r="C96" s="685"/>
      <c r="D96" s="377"/>
      <c r="E96" s="377"/>
      <c r="F96" s="377"/>
      <c r="G96" s="377"/>
      <c r="H96" s="377"/>
      <c r="I96" s="377"/>
    </row>
    <row r="97" spans="2:9" ht="16">
      <c r="B97" s="1118" t="s">
        <v>713</v>
      </c>
      <c r="C97" s="685" t="s">
        <v>64</v>
      </c>
      <c r="D97" s="377"/>
      <c r="E97" s="377"/>
      <c r="F97" s="377"/>
      <c r="G97" s="377"/>
      <c r="H97" s="377"/>
      <c r="I97" s="377"/>
    </row>
    <row r="98" spans="2:9" ht="16">
      <c r="B98" s="685"/>
      <c r="C98" s="685" t="s">
        <v>1586</v>
      </c>
      <c r="D98" s="377"/>
      <c r="E98" s="377"/>
      <c r="F98" s="377"/>
      <c r="G98" s="377"/>
      <c r="H98" s="377"/>
      <c r="I98" s="377"/>
    </row>
    <row r="99" spans="2:9" ht="16">
      <c r="B99" s="685"/>
      <c r="C99" s="685" t="s">
        <v>1587</v>
      </c>
      <c r="D99" s="377"/>
      <c r="E99" s="377"/>
      <c r="F99" s="377"/>
      <c r="G99" s="377"/>
      <c r="H99" s="377"/>
      <c r="I99" s="377"/>
    </row>
    <row r="100" spans="2:9" ht="5.25" customHeight="1">
      <c r="B100" s="377"/>
      <c r="C100" s="1612"/>
      <c r="D100" s="1612"/>
      <c r="E100" s="1612"/>
      <c r="F100" s="1612"/>
      <c r="G100" s="1612"/>
      <c r="H100" s="1612"/>
      <c r="I100" s="377"/>
    </row>
    <row r="101" spans="2:9" ht="16">
      <c r="B101" s="377"/>
      <c r="C101" s="377"/>
      <c r="D101" s="377"/>
      <c r="E101" s="377"/>
      <c r="F101" s="377"/>
      <c r="G101" s="377"/>
      <c r="H101" s="377"/>
      <c r="I101" s="377"/>
    </row>
    <row r="102" spans="2:9" ht="16">
      <c r="B102" s="377"/>
      <c r="C102" s="377"/>
      <c r="D102" s="377"/>
      <c r="E102" s="377"/>
      <c r="F102" s="377"/>
      <c r="G102" s="377"/>
      <c r="H102" s="377"/>
      <c r="I102" s="377"/>
    </row>
    <row r="103" spans="2:9" ht="16">
      <c r="B103" s="377"/>
      <c r="C103" s="377"/>
      <c r="D103" s="377"/>
      <c r="E103" s="377"/>
      <c r="F103" s="377"/>
      <c r="G103" s="377"/>
      <c r="H103" s="377"/>
      <c r="I103" s="377"/>
    </row>
    <row r="104" spans="2:9" ht="16">
      <c r="B104" s="377"/>
      <c r="C104" s="687" t="s">
        <v>1588</v>
      </c>
      <c r="D104" s="873"/>
      <c r="E104" s="873"/>
      <c r="F104" s="873"/>
      <c r="G104" s="873"/>
      <c r="H104" s="873"/>
      <c r="I104" s="377"/>
    </row>
    <row r="105" spans="2:9" ht="16">
      <c r="B105" s="377"/>
      <c r="C105" s="377"/>
      <c r="D105" s="377"/>
      <c r="E105" s="377"/>
      <c r="F105" s="377"/>
      <c r="G105" s="377"/>
      <c r="H105" s="377"/>
      <c r="I105" s="377"/>
    </row>
    <row r="106" spans="2:9" ht="16">
      <c r="B106" s="377"/>
      <c r="C106" s="377"/>
      <c r="D106" s="377"/>
      <c r="E106" s="377"/>
      <c r="F106" s="377"/>
      <c r="G106" s="377"/>
      <c r="H106" s="377"/>
      <c r="I106" s="377"/>
    </row>
    <row r="107" spans="2:9" ht="16">
      <c r="B107" s="377"/>
      <c r="C107" s="377"/>
      <c r="D107" s="377"/>
      <c r="E107" s="377"/>
      <c r="F107" s="377"/>
      <c r="G107" s="377"/>
      <c r="H107" s="377"/>
      <c r="I107" s="377"/>
    </row>
    <row r="108" spans="2:9" ht="16">
      <c r="B108" s="377"/>
      <c r="C108" s="377"/>
      <c r="D108" s="377"/>
      <c r="E108" s="377"/>
      <c r="F108" s="377"/>
      <c r="G108" s="377"/>
      <c r="H108" s="377"/>
      <c r="I108" s="377"/>
    </row>
    <row r="109" spans="2:9" ht="16">
      <c r="B109" s="377"/>
      <c r="C109" s="377"/>
      <c r="D109" s="377"/>
      <c r="E109" s="377"/>
      <c r="F109" s="377"/>
      <c r="G109" s="377"/>
      <c r="H109" s="377"/>
      <c r="I109" s="377"/>
    </row>
    <row r="110" spans="2:9" ht="16">
      <c r="B110" s="377"/>
      <c r="C110" s="377"/>
      <c r="D110" s="377"/>
      <c r="E110" s="377"/>
      <c r="F110" s="377"/>
      <c r="G110" s="377"/>
      <c r="H110" s="377"/>
      <c r="I110" s="377"/>
    </row>
    <row r="111" spans="2:9" ht="16">
      <c r="B111" s="377"/>
      <c r="C111" s="377"/>
      <c r="D111" s="377"/>
      <c r="E111" s="377"/>
      <c r="F111" s="377"/>
      <c r="G111" s="377"/>
      <c r="H111" s="377"/>
      <c r="I111" s="377"/>
    </row>
    <row r="112" spans="2:9" ht="16">
      <c r="B112" s="377"/>
      <c r="C112" s="377"/>
      <c r="D112" s="377"/>
      <c r="E112" s="377"/>
      <c r="F112" s="377"/>
      <c r="G112" s="377"/>
      <c r="H112" s="377"/>
      <c r="I112" s="377"/>
    </row>
    <row r="113" spans="2:9" ht="16">
      <c r="B113" s="377"/>
      <c r="C113" s="377"/>
      <c r="D113" s="377"/>
      <c r="E113" s="377"/>
      <c r="F113" s="377"/>
      <c r="G113" s="377"/>
      <c r="H113" s="377"/>
      <c r="I113" s="377"/>
    </row>
    <row r="114" spans="2:9" ht="16">
      <c r="B114" s="377"/>
      <c r="C114" s="377"/>
      <c r="D114" s="377"/>
      <c r="E114" s="377"/>
      <c r="F114" s="377"/>
      <c r="G114" s="377"/>
      <c r="H114" s="377"/>
      <c r="I114" s="377"/>
    </row>
    <row r="115" spans="2:9" ht="16">
      <c r="B115" s="377"/>
      <c r="C115" s="377"/>
      <c r="D115" s="377"/>
      <c r="E115" s="377"/>
      <c r="F115" s="377"/>
      <c r="G115" s="377"/>
      <c r="H115" s="377"/>
      <c r="I115" s="377"/>
    </row>
    <row r="116" spans="2:9" ht="16">
      <c r="B116" s="377"/>
      <c r="C116" s="377"/>
      <c r="D116" s="377"/>
      <c r="E116" s="377"/>
      <c r="F116" s="377"/>
      <c r="G116" s="377"/>
      <c r="H116" s="377"/>
      <c r="I116" s="377"/>
    </row>
    <row r="117" spans="2:9" ht="16">
      <c r="B117" s="377"/>
      <c r="C117" s="377"/>
      <c r="D117" s="377"/>
      <c r="E117" s="377"/>
      <c r="F117" s="377"/>
      <c r="G117" s="377"/>
      <c r="H117" s="377"/>
      <c r="I117" s="377"/>
    </row>
    <row r="118" spans="2:9" ht="16">
      <c r="B118" s="377"/>
      <c r="C118" s="377"/>
      <c r="D118" s="377"/>
      <c r="E118" s="377"/>
      <c r="F118" s="377"/>
      <c r="G118" s="377"/>
      <c r="H118" s="377"/>
      <c r="I118" s="377"/>
    </row>
    <row r="119" spans="2:9" ht="16">
      <c r="B119" s="377"/>
      <c r="C119" s="377"/>
      <c r="D119" s="377"/>
      <c r="E119" s="377"/>
      <c r="F119" s="377"/>
      <c r="G119" s="377"/>
      <c r="H119" s="377"/>
      <c r="I119" s="377"/>
    </row>
    <row r="120" spans="2:9" ht="16">
      <c r="B120" s="377"/>
      <c r="C120" s="377"/>
      <c r="D120" s="377"/>
      <c r="E120" s="377"/>
      <c r="F120" s="377"/>
      <c r="G120" s="377"/>
      <c r="H120" s="377"/>
      <c r="I120" s="377"/>
    </row>
    <row r="121" spans="2:9" ht="16">
      <c r="B121" s="377"/>
      <c r="C121" s="377"/>
      <c r="D121" s="377"/>
      <c r="E121" s="377"/>
      <c r="F121" s="377"/>
      <c r="G121" s="377"/>
      <c r="H121" s="377"/>
      <c r="I121" s="377"/>
    </row>
    <row r="122" spans="2:9" ht="16">
      <c r="B122" s="377"/>
      <c r="C122" s="377"/>
      <c r="D122" s="377"/>
      <c r="E122" s="377"/>
      <c r="F122" s="377"/>
      <c r="G122" s="377"/>
      <c r="H122" s="377"/>
      <c r="I122" s="377"/>
    </row>
  </sheetData>
  <sheetProtection password="CCBC" sheet="1" objects="1" scenarios="1"/>
  <mergeCells count="5">
    <mergeCell ref="B3:I3"/>
    <mergeCell ref="B4:I4"/>
    <mergeCell ref="B5:I5"/>
    <mergeCell ref="C100:H100"/>
    <mergeCell ref="C95:H95"/>
  </mergeCells>
  <phoneticPr fontId="51" type="noConversion"/>
  <pageMargins left="0.75" right="0.75" top="1" bottom="1" header="0.5" footer="0.5"/>
  <pageSetup scale="74" orientation="portrait" r:id="rId1"/>
  <headerFooter alignWithMargins="0"/>
  <rowBreaks count="1" manualBreakCount="1">
    <brk id="54" max="9"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0"/>
  <dimension ref="A1:G34"/>
  <sheetViews>
    <sheetView zoomScaleNormal="100" workbookViewId="0">
      <selection activeCell="L5" sqref="L5"/>
    </sheetView>
  </sheetViews>
  <sheetFormatPr baseColWidth="10" defaultColWidth="9.1640625" defaultRowHeight="13"/>
  <cols>
    <col min="1" max="1" width="3.6640625" style="190" customWidth="1"/>
    <col min="2" max="2" width="3.5" style="190" customWidth="1"/>
    <col min="3" max="5" width="9.1640625" style="190"/>
    <col min="6" max="6" width="35.5" style="190" customWidth="1"/>
    <col min="7" max="7" width="18.1640625" style="190" customWidth="1"/>
    <col min="8" max="8" width="3.6640625" style="190" customWidth="1"/>
    <col min="9" max="16384" width="9.1640625" style="190"/>
  </cols>
  <sheetData>
    <row r="1" spans="1:7">
      <c r="A1" s="381" t="s">
        <v>476</v>
      </c>
      <c r="F1" s="879">
        <f>+Name</f>
        <v>0</v>
      </c>
      <c r="G1" s="374" t="e">
        <f>Cover!$H$6</f>
        <v>#N/A</v>
      </c>
    </row>
    <row r="2" spans="1:7" ht="14" thickBot="1"/>
    <row r="3" spans="1:7" ht="25" thickTop="1" thickBot="1">
      <c r="B3" s="688" t="s">
        <v>1211</v>
      </c>
      <c r="C3" s="689"/>
      <c r="D3" s="690"/>
      <c r="E3" s="690"/>
      <c r="F3" s="690"/>
      <c r="G3" s="691"/>
    </row>
    <row r="4" spans="1:7" ht="14" thickTop="1"/>
    <row r="5" spans="1:7">
      <c r="B5" s="355" t="s">
        <v>1212</v>
      </c>
      <c r="C5" s="376"/>
      <c r="D5" s="376"/>
      <c r="E5" s="376"/>
      <c r="F5" s="376"/>
      <c r="G5" s="376"/>
    </row>
    <row r="6" spans="1:7">
      <c r="B6" s="355" t="s">
        <v>1624</v>
      </c>
      <c r="C6" s="376"/>
      <c r="D6" s="376"/>
      <c r="E6" s="376"/>
      <c r="F6" s="376"/>
      <c r="G6" s="376"/>
    </row>
    <row r="7" spans="1:7">
      <c r="B7" s="692" t="s">
        <v>1625</v>
      </c>
      <c r="C7" s="376"/>
      <c r="D7" s="376"/>
      <c r="E7" s="376"/>
      <c r="F7" s="376"/>
      <c r="G7" s="376"/>
    </row>
    <row r="11" spans="1:7">
      <c r="B11" s="364">
        <v>1</v>
      </c>
      <c r="C11" s="190" t="s">
        <v>1626</v>
      </c>
      <c r="G11" s="624"/>
    </row>
    <row r="13" spans="1:7">
      <c r="B13" s="364">
        <v>2</v>
      </c>
      <c r="C13" s="190" t="s">
        <v>1627</v>
      </c>
      <c r="G13" s="624"/>
    </row>
    <row r="14" spans="1:7">
      <c r="C14" s="190" t="s">
        <v>1628</v>
      </c>
    </row>
    <row r="16" spans="1:7">
      <c r="B16" s="364">
        <v>3</v>
      </c>
      <c r="C16" s="190" t="s">
        <v>973</v>
      </c>
      <c r="G16" s="624"/>
    </row>
    <row r="17" spans="2:7">
      <c r="C17" s="190" t="s">
        <v>974</v>
      </c>
    </row>
    <row r="18" spans="2:7">
      <c r="C18" s="190" t="s">
        <v>975</v>
      </c>
    </row>
    <row r="20" spans="2:7">
      <c r="B20" s="364">
        <v>4</v>
      </c>
      <c r="C20" s="190" t="s">
        <v>976</v>
      </c>
      <c r="G20" s="624"/>
    </row>
    <row r="21" spans="2:7">
      <c r="C21" s="190" t="s">
        <v>977</v>
      </c>
    </row>
    <row r="22" spans="2:7">
      <c r="C22" s="190" t="s">
        <v>978</v>
      </c>
    </row>
    <row r="24" spans="2:7">
      <c r="B24" s="364">
        <v>5</v>
      </c>
      <c r="C24" s="190" t="s">
        <v>979</v>
      </c>
      <c r="G24" s="624"/>
    </row>
    <row r="25" spans="2:7">
      <c r="B25" s="364"/>
      <c r="C25" s="190" t="s">
        <v>980</v>
      </c>
    </row>
    <row r="26" spans="2:7">
      <c r="C26" s="190" t="s">
        <v>1008</v>
      </c>
    </row>
    <row r="28" spans="2:7">
      <c r="F28" s="190" t="s">
        <v>94</v>
      </c>
      <c r="G28" s="622">
        <f>SUM(G11:G24)</f>
        <v>0</v>
      </c>
    </row>
    <row r="34" spans="3:7">
      <c r="C34" s="364" t="s">
        <v>1882</v>
      </c>
      <c r="D34" s="239"/>
      <c r="E34" s="239"/>
      <c r="F34" s="364" t="s">
        <v>1009</v>
      </c>
      <c r="G34" s="623">
        <f ca="1">NOW()</f>
        <v>43383.581258796294</v>
      </c>
    </row>
  </sheetData>
  <sheetProtection password="CCBC" sheet="1" objects="1" scenarios="1"/>
  <phoneticPr fontId="51" type="noConversion"/>
  <dataValidations count="1">
    <dataValidation type="custom" allowBlank="1" showInputMessage="1" showErrorMessage="1" sqref="E31" xr:uid="{00000000-0002-0000-1F00-000000000000}">
      <formula1>""</formula1>
    </dataValidation>
  </dataValidations>
  <printOptions horizontalCentered="1"/>
  <pageMargins left="0.75" right="0.75" top="1" bottom="1" header="0.5" footer="0.5"/>
  <pageSetup scale="98"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8"/>
  <dimension ref="B1:J120"/>
  <sheetViews>
    <sheetView zoomScale="85" zoomScaleNormal="100" workbookViewId="0">
      <selection activeCell="L5" sqref="L5"/>
    </sheetView>
  </sheetViews>
  <sheetFormatPr baseColWidth="10" defaultColWidth="9.1640625" defaultRowHeight="13"/>
  <cols>
    <col min="1" max="1" width="4.5" style="1" customWidth="1"/>
    <col min="2" max="6" width="9.1640625" style="1"/>
    <col min="7" max="7" width="5.5" style="1" customWidth="1"/>
    <col min="8" max="8" width="50.5" style="1" customWidth="1"/>
    <col min="9" max="16384" width="9.1640625" style="1"/>
  </cols>
  <sheetData>
    <row r="1" spans="2:10" ht="27.75" customHeight="1" thickTop="1" thickBot="1">
      <c r="B1" s="1615" t="s">
        <v>837</v>
      </c>
      <c r="C1" s="1616"/>
      <c r="D1" s="1616"/>
      <c r="E1" s="1616"/>
      <c r="F1" s="1616"/>
      <c r="G1" s="1616"/>
      <c r="H1" s="1616"/>
      <c r="I1" s="1616"/>
      <c r="J1" s="1617"/>
    </row>
    <row r="2" spans="2:10" ht="14" thickTop="1"/>
    <row r="3" spans="2:10">
      <c r="B3" s="1" t="s">
        <v>280</v>
      </c>
      <c r="D3" s="1614"/>
      <c r="E3" s="1614"/>
      <c r="F3" s="1614"/>
      <c r="G3" s="1614"/>
      <c r="H3" s="1614"/>
      <c r="I3" s="1614"/>
      <c r="J3" s="1614"/>
    </row>
    <row r="4" spans="2:10" ht="8.25" customHeight="1"/>
    <row r="5" spans="2:10" ht="17.25" customHeight="1">
      <c r="B5" s="1" t="s">
        <v>838</v>
      </c>
      <c r="D5" s="1614"/>
      <c r="E5" s="1614"/>
      <c r="F5" s="1614"/>
      <c r="H5" s="1614"/>
      <c r="I5" s="1614"/>
      <c r="J5" s="1614"/>
    </row>
    <row r="6" spans="2:10" s="910" customFormat="1" ht="10.5" customHeight="1">
      <c r="D6" s="1613" t="s">
        <v>839</v>
      </c>
      <c r="E6" s="1613"/>
      <c r="F6" s="1613"/>
      <c r="H6" s="1613" t="s">
        <v>840</v>
      </c>
      <c r="I6" s="1613"/>
      <c r="J6" s="1613"/>
    </row>
    <row r="7" spans="2:10" ht="18" customHeight="1">
      <c r="D7" s="1614"/>
      <c r="E7" s="1614"/>
      <c r="F7" s="1614"/>
      <c r="H7" s="911"/>
      <c r="J7" s="911"/>
    </row>
    <row r="8" spans="2:10" s="910" customFormat="1" ht="11">
      <c r="E8" s="910" t="s">
        <v>841</v>
      </c>
      <c r="H8" s="910" t="s">
        <v>842</v>
      </c>
      <c r="J8" s="910" t="s">
        <v>843</v>
      </c>
    </row>
    <row r="10" spans="2:10">
      <c r="B10" s="1" t="s">
        <v>844</v>
      </c>
      <c r="D10" s="1614"/>
      <c r="E10" s="1614"/>
      <c r="F10" s="1614"/>
      <c r="G10" s="1614"/>
      <c r="H10" s="1614"/>
      <c r="I10" s="1614"/>
      <c r="J10" s="1614"/>
    </row>
    <row r="11" spans="2:10" ht="8.25" customHeight="1"/>
    <row r="12" spans="2:10" ht="17.25" customHeight="1">
      <c r="B12" s="1" t="s">
        <v>1998</v>
      </c>
      <c r="D12" s="1614"/>
      <c r="E12" s="1614"/>
      <c r="F12" s="1614"/>
      <c r="H12" s="1614"/>
      <c r="I12" s="1614"/>
      <c r="J12" s="1614"/>
    </row>
    <row r="13" spans="2:10" s="910" customFormat="1" ht="10.5" customHeight="1">
      <c r="D13" s="1613" t="s">
        <v>839</v>
      </c>
      <c r="E13" s="1613"/>
      <c r="F13" s="1613"/>
      <c r="H13" s="1613" t="s">
        <v>840</v>
      </c>
      <c r="I13" s="1613"/>
      <c r="J13" s="1613"/>
    </row>
    <row r="14" spans="2:10" ht="18" customHeight="1">
      <c r="D14" s="1614"/>
      <c r="E14" s="1614"/>
      <c r="F14" s="1614"/>
      <c r="H14" s="911"/>
    </row>
    <row r="15" spans="2:10" s="910" customFormat="1" ht="11">
      <c r="E15" s="910" t="s">
        <v>842</v>
      </c>
      <c r="H15" s="910" t="s">
        <v>843</v>
      </c>
    </row>
    <row r="17" spans="2:10">
      <c r="B17" s="1" t="s">
        <v>845</v>
      </c>
    </row>
    <row r="18" spans="2:10">
      <c r="B18" s="1618"/>
      <c r="C18" s="1619"/>
      <c r="D18" s="1619"/>
      <c r="E18" s="1619"/>
      <c r="F18" s="1619"/>
      <c r="G18" s="1619"/>
      <c r="H18" s="1619"/>
      <c r="I18" s="1619"/>
      <c r="J18" s="1620"/>
    </row>
    <row r="19" spans="2:10">
      <c r="B19" s="1621"/>
      <c r="C19" s="1622"/>
      <c r="D19" s="1622"/>
      <c r="E19" s="1622"/>
      <c r="F19" s="1622"/>
      <c r="G19" s="1622"/>
      <c r="H19" s="1622"/>
      <c r="I19" s="1622"/>
      <c r="J19" s="1623"/>
    </row>
    <row r="20" spans="2:10">
      <c r="B20" s="1621"/>
      <c r="C20" s="1622"/>
      <c r="D20" s="1622"/>
      <c r="E20" s="1622"/>
      <c r="F20" s="1622"/>
      <c r="G20" s="1622"/>
      <c r="H20" s="1622"/>
      <c r="I20" s="1622"/>
      <c r="J20" s="1623"/>
    </row>
    <row r="21" spans="2:10">
      <c r="B21" s="1621"/>
      <c r="C21" s="1622"/>
      <c r="D21" s="1622"/>
      <c r="E21" s="1622"/>
      <c r="F21" s="1622"/>
      <c r="G21" s="1622"/>
      <c r="H21" s="1622"/>
      <c r="I21" s="1622"/>
      <c r="J21" s="1623"/>
    </row>
    <row r="22" spans="2:10">
      <c r="B22" s="1621"/>
      <c r="C22" s="1622"/>
      <c r="D22" s="1622"/>
      <c r="E22" s="1622"/>
      <c r="F22" s="1622"/>
      <c r="G22" s="1622"/>
      <c r="H22" s="1622"/>
      <c r="I22" s="1622"/>
      <c r="J22" s="1623"/>
    </row>
    <row r="23" spans="2:10">
      <c r="B23" s="1624"/>
      <c r="C23" s="1625"/>
      <c r="D23" s="1625"/>
      <c r="E23" s="1625"/>
      <c r="F23" s="1625"/>
      <c r="G23" s="1625"/>
      <c r="H23" s="1625"/>
      <c r="I23" s="1625"/>
      <c r="J23" s="1626"/>
    </row>
    <row r="25" spans="2:10" ht="16">
      <c r="B25" s="616" t="s">
        <v>846</v>
      </c>
      <c r="I25" s="912" t="s">
        <v>275</v>
      </c>
      <c r="J25" s="912" t="s">
        <v>276</v>
      </c>
    </row>
    <row r="26" spans="2:10" ht="6.75" customHeight="1"/>
    <row r="27" spans="2:10">
      <c r="B27" s="1627" t="s">
        <v>847</v>
      </c>
      <c r="C27" s="1627"/>
      <c r="D27" s="1627"/>
      <c r="E27" s="1627"/>
      <c r="F27" s="1627"/>
      <c r="G27" s="1627"/>
      <c r="H27" s="1627"/>
    </row>
    <row r="28" spans="2:10" ht="9" customHeight="1"/>
    <row r="29" spans="2:10" ht="29.25" customHeight="1">
      <c r="B29" s="1628" t="s">
        <v>848</v>
      </c>
      <c r="C29" s="1628"/>
      <c r="D29" s="1628"/>
      <c r="E29" s="1628"/>
      <c r="F29" s="1628"/>
      <c r="G29" s="1628"/>
      <c r="H29" s="1628"/>
      <c r="I29" s="914"/>
      <c r="J29" s="914"/>
    </row>
    <row r="30" spans="2:10" ht="9.75" customHeight="1">
      <c r="B30" s="913"/>
      <c r="C30" s="913"/>
      <c r="D30" s="913"/>
      <c r="E30" s="913"/>
      <c r="F30" s="913"/>
      <c r="G30" s="913"/>
      <c r="H30" s="913"/>
    </row>
    <row r="31" spans="2:10">
      <c r="B31" s="1384" t="s">
        <v>849</v>
      </c>
      <c r="C31" s="1384"/>
      <c r="D31" s="1384"/>
      <c r="E31" s="1384"/>
      <c r="F31" s="1384"/>
      <c r="G31" s="1384"/>
      <c r="H31" s="1384"/>
    </row>
    <row r="32" spans="2:10" ht="6" customHeight="1">
      <c r="B32" s="913"/>
      <c r="C32" s="913"/>
      <c r="D32" s="913"/>
      <c r="E32" s="913"/>
      <c r="F32" s="913"/>
      <c r="G32" s="913"/>
      <c r="H32" s="913"/>
    </row>
    <row r="33" spans="2:10" ht="15" customHeight="1">
      <c r="B33" s="1384" t="s">
        <v>850</v>
      </c>
      <c r="C33" s="1384"/>
      <c r="D33" s="1384"/>
      <c r="E33" s="1384"/>
      <c r="F33" s="1384"/>
      <c r="G33" s="1384"/>
      <c r="H33" s="1384"/>
      <c r="I33" s="914"/>
      <c r="J33" s="914"/>
    </row>
    <row r="34" spans="2:10" ht="7.5" customHeight="1">
      <c r="B34" s="913"/>
      <c r="C34" s="913"/>
      <c r="D34" s="913"/>
      <c r="E34" s="913"/>
      <c r="F34" s="913"/>
      <c r="G34" s="913"/>
      <c r="H34" s="913"/>
    </row>
    <row r="35" spans="2:10" ht="18.75" customHeight="1">
      <c r="B35" s="1384" t="s">
        <v>851</v>
      </c>
      <c r="C35" s="1384"/>
      <c r="D35" s="1384"/>
      <c r="E35" s="1384"/>
      <c r="F35" s="1384"/>
      <c r="G35" s="1384"/>
      <c r="H35" s="1384"/>
      <c r="I35" s="914"/>
      <c r="J35" s="914"/>
    </row>
    <row r="36" spans="2:10" ht="6.75" customHeight="1">
      <c r="B36" s="913"/>
      <c r="C36" s="913"/>
      <c r="D36" s="913"/>
      <c r="E36" s="913"/>
      <c r="F36" s="913"/>
      <c r="G36" s="913"/>
      <c r="H36" s="913"/>
    </row>
    <row r="37" spans="2:10">
      <c r="B37" s="1629" t="s">
        <v>852</v>
      </c>
      <c r="C37" s="1629"/>
      <c r="D37" s="1629"/>
      <c r="E37" s="1629"/>
      <c r="F37" s="1629"/>
      <c r="G37" s="1629"/>
      <c r="H37" s="1629"/>
    </row>
    <row r="38" spans="2:10" ht="6" customHeight="1">
      <c r="B38" s="888"/>
      <c r="C38" s="888"/>
      <c r="D38" s="888"/>
      <c r="E38" s="888"/>
      <c r="F38" s="888"/>
      <c r="G38" s="888"/>
      <c r="H38" s="888"/>
    </row>
    <row r="39" spans="2:10">
      <c r="B39" s="1384" t="s">
        <v>853</v>
      </c>
      <c r="C39" s="1384"/>
      <c r="D39" s="1384"/>
      <c r="E39" s="1384"/>
      <c r="F39" s="1384"/>
      <c r="G39" s="1384"/>
      <c r="H39" s="1384"/>
      <c r="I39" s="914"/>
      <c r="J39" s="914"/>
    </row>
    <row r="40" spans="2:10">
      <c r="B40" s="888"/>
      <c r="C40" s="888"/>
      <c r="D40" s="888"/>
      <c r="E40" s="888"/>
      <c r="F40" s="888"/>
      <c r="G40" s="888"/>
      <c r="H40" s="888"/>
    </row>
    <row r="41" spans="2:10" ht="17.25" customHeight="1">
      <c r="B41" s="1384" t="s">
        <v>854</v>
      </c>
      <c r="C41" s="1384"/>
      <c r="D41" s="1384"/>
      <c r="E41" s="1384"/>
      <c r="F41" s="1384"/>
      <c r="G41" s="1384"/>
      <c r="H41" s="1384"/>
      <c r="I41" s="914"/>
      <c r="J41" s="914"/>
    </row>
    <row r="42" spans="2:10" ht="7.5" customHeight="1">
      <c r="B42" s="888"/>
      <c r="C42" s="888"/>
      <c r="D42" s="888"/>
      <c r="E42" s="888"/>
      <c r="F42" s="888"/>
      <c r="G42" s="888"/>
      <c r="H42" s="888"/>
    </row>
    <row r="43" spans="2:10" ht="18.75" customHeight="1">
      <c r="B43" s="1384" t="s">
        <v>855</v>
      </c>
      <c r="C43" s="1384"/>
      <c r="D43" s="1384"/>
      <c r="E43" s="1384"/>
      <c r="F43" s="1384"/>
      <c r="G43" s="1384"/>
      <c r="H43" s="1384"/>
      <c r="I43" s="914"/>
      <c r="J43" s="914"/>
    </row>
    <row r="44" spans="2:10" ht="7.5" customHeight="1">
      <c r="B44" s="913"/>
      <c r="C44" s="913"/>
      <c r="D44" s="913"/>
      <c r="E44" s="913"/>
      <c r="F44" s="913"/>
      <c r="G44" s="913"/>
      <c r="H44" s="913"/>
    </row>
    <row r="45" spans="2:10" ht="15.75" customHeight="1">
      <c r="B45" s="1629" t="s">
        <v>856</v>
      </c>
      <c r="C45" s="1629"/>
      <c r="D45" s="1629"/>
      <c r="E45" s="1629"/>
      <c r="F45" s="1629"/>
      <c r="G45" s="1629"/>
      <c r="H45" s="1629"/>
    </row>
    <row r="46" spans="2:10" ht="8.25" customHeight="1">
      <c r="B46" s="913"/>
      <c r="C46" s="913"/>
      <c r="D46" s="913"/>
      <c r="E46" s="913"/>
      <c r="F46" s="913"/>
      <c r="G46" s="913"/>
      <c r="H46" s="913"/>
    </row>
    <row r="47" spans="2:10" ht="15.75" customHeight="1">
      <c r="B47" s="1384" t="s">
        <v>857</v>
      </c>
      <c r="C47" s="1384"/>
      <c r="D47" s="1384"/>
      <c r="E47" s="1384"/>
      <c r="F47" s="1384"/>
      <c r="G47" s="1384"/>
      <c r="H47" s="1384"/>
      <c r="I47" s="914"/>
      <c r="J47" s="914"/>
    </row>
    <row r="48" spans="2:10" ht="8.25" customHeight="1">
      <c r="B48" s="913"/>
      <c r="C48" s="913"/>
      <c r="D48" s="913"/>
      <c r="E48" s="913"/>
      <c r="F48" s="913"/>
      <c r="G48" s="913"/>
      <c r="H48" s="913"/>
    </row>
    <row r="49" spans="2:10">
      <c r="B49" s="1629" t="s">
        <v>858</v>
      </c>
      <c r="C49" s="1629"/>
      <c r="D49" s="1629"/>
      <c r="E49" s="1629"/>
      <c r="F49" s="1629"/>
      <c r="G49" s="1629"/>
      <c r="H49" s="1629"/>
    </row>
    <row r="50" spans="2:10" ht="8.25" customHeight="1">
      <c r="B50" s="913"/>
      <c r="C50" s="913"/>
      <c r="D50" s="913"/>
      <c r="E50" s="913"/>
      <c r="F50" s="913"/>
      <c r="G50" s="913"/>
      <c r="H50" s="913"/>
    </row>
    <row r="51" spans="2:10" ht="27.75" customHeight="1">
      <c r="B51" s="1628" t="s">
        <v>859</v>
      </c>
      <c r="C51" s="1628"/>
      <c r="D51" s="1628"/>
      <c r="E51" s="1628"/>
      <c r="F51" s="1628"/>
      <c r="G51" s="1628"/>
      <c r="H51" s="1628"/>
      <c r="I51" s="914"/>
      <c r="J51" s="914"/>
    </row>
    <row r="53" spans="2:10" ht="24.75" customHeight="1">
      <c r="B53" s="1384" t="s">
        <v>860</v>
      </c>
      <c r="C53" s="1384"/>
      <c r="D53" s="1384"/>
      <c r="E53" s="1384"/>
      <c r="F53" s="1384"/>
      <c r="G53" s="1384"/>
      <c r="H53" s="1384"/>
      <c r="I53" s="914"/>
      <c r="J53" s="914"/>
    </row>
    <row r="55" spans="2:10">
      <c r="B55" s="1627" t="s">
        <v>861</v>
      </c>
      <c r="C55" s="1627"/>
      <c r="D55" s="1627"/>
      <c r="E55" s="1627"/>
      <c r="F55" s="1627"/>
      <c r="G55" s="1627"/>
      <c r="H55" s="1627"/>
    </row>
    <row r="56" spans="2:10" ht="6.75" customHeight="1"/>
    <row r="57" spans="2:10" ht="28.5" customHeight="1">
      <c r="B57" s="1384" t="s">
        <v>862</v>
      </c>
      <c r="C57" s="1384"/>
      <c r="D57" s="1384"/>
      <c r="E57" s="1384"/>
      <c r="F57" s="1384"/>
      <c r="G57" s="1384"/>
      <c r="H57" s="1384"/>
      <c r="I57" s="914"/>
      <c r="J57" s="914"/>
    </row>
    <row r="59" spans="2:10">
      <c r="B59" s="1627" t="s">
        <v>323</v>
      </c>
      <c r="C59" s="1627"/>
      <c r="D59" s="1627"/>
      <c r="E59" s="1627"/>
      <c r="F59" s="1627"/>
      <c r="G59" s="1627"/>
      <c r="H59" s="1627"/>
      <c r="I59" s="1627"/>
      <c r="J59" s="1627"/>
    </row>
    <row r="60" spans="2:10">
      <c r="B60" s="1630"/>
      <c r="C60" s="1630"/>
      <c r="D60" s="1630"/>
      <c r="E60" s="1630"/>
      <c r="F60" s="1630"/>
      <c r="G60" s="1630"/>
      <c r="H60" s="1630"/>
      <c r="I60" s="1630"/>
      <c r="J60" s="1630"/>
    </row>
    <row r="61" spans="2:10">
      <c r="B61" s="1630"/>
      <c r="C61" s="1630"/>
      <c r="D61" s="1630"/>
      <c r="E61" s="1630"/>
      <c r="F61" s="1630"/>
      <c r="G61" s="1630"/>
      <c r="H61" s="1630"/>
      <c r="I61" s="1630"/>
      <c r="J61" s="1630"/>
    </row>
    <row r="62" spans="2:10">
      <c r="B62" s="1630"/>
      <c r="C62" s="1630"/>
      <c r="D62" s="1630"/>
      <c r="E62" s="1630"/>
      <c r="F62" s="1630"/>
      <c r="G62" s="1630"/>
      <c r="H62" s="1630"/>
      <c r="I62" s="1630"/>
      <c r="J62" s="1630"/>
    </row>
    <row r="63" spans="2:10">
      <c r="B63" s="1630"/>
      <c r="C63" s="1630"/>
      <c r="D63" s="1630"/>
      <c r="E63" s="1630"/>
      <c r="F63" s="1630"/>
      <c r="G63" s="1630"/>
      <c r="H63" s="1630"/>
      <c r="I63" s="1630"/>
      <c r="J63" s="1630"/>
    </row>
    <row r="64" spans="2:10">
      <c r="B64" s="1630"/>
      <c r="C64" s="1630"/>
      <c r="D64" s="1630"/>
      <c r="E64" s="1630"/>
      <c r="F64" s="1630"/>
      <c r="G64" s="1630"/>
      <c r="H64" s="1630"/>
      <c r="I64" s="1630"/>
      <c r="J64" s="1630"/>
    </row>
    <row r="65" spans="2:10">
      <c r="B65" s="1630"/>
      <c r="C65" s="1630"/>
      <c r="D65" s="1630"/>
      <c r="E65" s="1630"/>
      <c r="F65" s="1630"/>
      <c r="G65" s="1630"/>
      <c r="H65" s="1630"/>
      <c r="I65" s="1630"/>
      <c r="J65" s="1630"/>
    </row>
    <row r="66" spans="2:10">
      <c r="B66" s="1630"/>
      <c r="C66" s="1630"/>
      <c r="D66" s="1630"/>
      <c r="E66" s="1630"/>
      <c r="F66" s="1630"/>
      <c r="G66" s="1630"/>
      <c r="H66" s="1630"/>
      <c r="I66" s="1630"/>
      <c r="J66" s="1630"/>
    </row>
    <row r="67" spans="2:10">
      <c r="B67" s="1630"/>
      <c r="C67" s="1630"/>
      <c r="D67" s="1630"/>
      <c r="E67" s="1630"/>
      <c r="F67" s="1630"/>
      <c r="G67" s="1630"/>
      <c r="H67" s="1630"/>
      <c r="I67" s="1630"/>
      <c r="J67" s="1630"/>
    </row>
    <row r="70" spans="2:10">
      <c r="B70" s="1" t="s">
        <v>846</v>
      </c>
      <c r="I70" s="1" t="s">
        <v>275</v>
      </c>
      <c r="J70" s="1" t="s">
        <v>276</v>
      </c>
    </row>
    <row r="72" spans="2:10">
      <c r="B72" s="1627" t="s">
        <v>1450</v>
      </c>
      <c r="C72" s="1627"/>
      <c r="D72" s="1627"/>
      <c r="E72" s="1627"/>
      <c r="F72" s="1627"/>
      <c r="G72" s="1627"/>
      <c r="H72" s="1627"/>
    </row>
    <row r="74" spans="2:10">
      <c r="B74" s="1631" t="s">
        <v>1451</v>
      </c>
      <c r="C74" s="1631"/>
      <c r="D74" s="1631"/>
      <c r="E74" s="1631"/>
      <c r="F74" s="1631"/>
      <c r="G74" s="1631"/>
      <c r="H74" s="1631"/>
    </row>
    <row r="76" spans="2:10" ht="23.25" customHeight="1">
      <c r="B76" s="1384" t="s">
        <v>1452</v>
      </c>
      <c r="C76" s="1384"/>
      <c r="D76" s="1384"/>
      <c r="E76" s="1384"/>
      <c r="F76" s="1384"/>
      <c r="G76" s="1384"/>
      <c r="H76" s="1384"/>
      <c r="I76" s="914"/>
      <c r="J76" s="914"/>
    </row>
    <row r="78" spans="2:10" ht="36" customHeight="1">
      <c r="B78" s="1384" t="s">
        <v>1453</v>
      </c>
      <c r="C78" s="1384"/>
      <c r="D78" s="1384"/>
      <c r="E78" s="1384"/>
      <c r="F78" s="1384"/>
      <c r="G78" s="1384"/>
      <c r="H78" s="1384"/>
      <c r="I78" s="914"/>
      <c r="J78" s="914"/>
    </row>
    <row r="80" spans="2:10" ht="23.25" customHeight="1">
      <c r="B80" s="1384" t="s">
        <v>1454</v>
      </c>
      <c r="C80" s="1384"/>
      <c r="D80" s="1384"/>
      <c r="E80" s="1384"/>
      <c r="F80" s="1384"/>
      <c r="G80" s="1384"/>
      <c r="H80" s="1384"/>
      <c r="I80" s="914"/>
      <c r="J80" s="914"/>
    </row>
    <row r="82" spans="2:10">
      <c r="B82" s="1631" t="s">
        <v>1455</v>
      </c>
      <c r="C82" s="1631"/>
      <c r="D82" s="1631"/>
      <c r="E82" s="1631"/>
      <c r="F82" s="1631"/>
      <c r="G82" s="1631"/>
      <c r="H82" s="1631"/>
    </row>
    <row r="84" spans="2:10" ht="24.75" customHeight="1">
      <c r="B84" s="1384" t="s">
        <v>1456</v>
      </c>
      <c r="C84" s="1384"/>
      <c r="D84" s="1384"/>
      <c r="E84" s="1384"/>
      <c r="F84" s="1384"/>
      <c r="G84" s="1384"/>
      <c r="H84" s="1384"/>
      <c r="I84" s="914"/>
      <c r="J84" s="914"/>
    </row>
    <row r="86" spans="2:10" ht="25.5" customHeight="1">
      <c r="B86" s="1384" t="s">
        <v>1457</v>
      </c>
      <c r="C86" s="1384"/>
      <c r="D86" s="1384"/>
      <c r="E86" s="1384"/>
      <c r="F86" s="1384"/>
      <c r="G86" s="1384"/>
      <c r="H86" s="1384"/>
      <c r="I86" s="914"/>
      <c r="J86" s="914"/>
    </row>
    <row r="88" spans="2:10" ht="26.25" customHeight="1">
      <c r="B88" s="1384" t="s">
        <v>1458</v>
      </c>
      <c r="C88" s="1384"/>
      <c r="D88" s="1384"/>
      <c r="E88" s="1384"/>
      <c r="F88" s="1384"/>
      <c r="G88" s="1384"/>
      <c r="H88" s="1384"/>
      <c r="I88" s="914"/>
      <c r="J88" s="914"/>
    </row>
    <row r="90" spans="2:10" ht="28.5" customHeight="1">
      <c r="B90" s="1384" t="s">
        <v>1459</v>
      </c>
      <c r="C90" s="1384"/>
      <c r="D90" s="1384"/>
      <c r="E90" s="1384"/>
      <c r="F90" s="1384"/>
      <c r="G90" s="1384"/>
      <c r="H90" s="1384"/>
    </row>
    <row r="91" spans="2:10">
      <c r="B91" s="1388"/>
      <c r="C91" s="1388"/>
      <c r="D91" s="1388"/>
      <c r="E91" s="1388"/>
      <c r="F91" s="1388"/>
      <c r="G91" s="1388"/>
      <c r="H91" s="1388"/>
    </row>
    <row r="92" spans="2:10">
      <c r="B92" s="1384" t="s">
        <v>1460</v>
      </c>
      <c r="C92" s="1384"/>
      <c r="D92" s="1384"/>
      <c r="E92" s="1384"/>
      <c r="F92" s="1384"/>
      <c r="G92" s="1384"/>
      <c r="H92" s="1384"/>
    </row>
    <row r="93" spans="2:10">
      <c r="B93" s="888"/>
      <c r="C93" s="888"/>
      <c r="D93" s="888"/>
      <c r="E93" s="888"/>
      <c r="F93" s="888"/>
      <c r="G93" s="888"/>
      <c r="H93" s="888"/>
    </row>
    <row r="94" spans="2:10" ht="40.5" customHeight="1">
      <c r="B94" s="1384" t="s">
        <v>820</v>
      </c>
      <c r="C94" s="1384"/>
      <c r="D94" s="1384"/>
      <c r="E94" s="1384"/>
      <c r="F94" s="1384"/>
      <c r="G94" s="1384"/>
      <c r="H94" s="1384"/>
      <c r="I94" s="914"/>
      <c r="J94" s="914"/>
    </row>
    <row r="95" spans="2:10" s="904" customFormat="1">
      <c r="B95" s="888"/>
      <c r="C95" s="888"/>
      <c r="D95" s="888"/>
      <c r="E95" s="888"/>
      <c r="F95" s="888"/>
      <c r="G95" s="888"/>
      <c r="H95" s="888"/>
    </row>
    <row r="96" spans="2:10" s="904" customFormat="1">
      <c r="B96" s="1384" t="s">
        <v>821</v>
      </c>
      <c r="C96" s="1384"/>
      <c r="D96" s="1384"/>
      <c r="E96" s="1384"/>
      <c r="F96" s="1384"/>
      <c r="G96" s="1384"/>
      <c r="H96" s="1384"/>
    </row>
    <row r="97" spans="2:10">
      <c r="B97" s="888"/>
      <c r="C97" s="888"/>
      <c r="D97" s="888"/>
      <c r="E97" s="888"/>
      <c r="F97" s="888"/>
      <c r="G97" s="888"/>
      <c r="H97" s="888"/>
    </row>
    <row r="98" spans="2:10">
      <c r="B98" s="1384" t="s">
        <v>822</v>
      </c>
      <c r="C98" s="1384"/>
      <c r="D98" s="1384"/>
      <c r="E98" s="1384"/>
      <c r="F98" s="1384"/>
      <c r="G98" s="1384"/>
      <c r="H98" s="1384"/>
      <c r="I98" s="914"/>
      <c r="J98" s="914"/>
    </row>
    <row r="99" spans="2:10">
      <c r="B99" s="888"/>
      <c r="C99" s="888"/>
      <c r="D99" s="888"/>
      <c r="E99" s="888"/>
      <c r="F99" s="888"/>
      <c r="G99" s="888"/>
      <c r="H99" s="888"/>
    </row>
    <row r="100" spans="2:10">
      <c r="B100" s="1384" t="s">
        <v>823</v>
      </c>
      <c r="C100" s="1384"/>
      <c r="D100" s="1384"/>
      <c r="E100" s="1384"/>
      <c r="F100" s="1384"/>
      <c r="G100" s="1384"/>
      <c r="H100" s="1384"/>
      <c r="I100" s="914"/>
      <c r="J100" s="914"/>
    </row>
    <row r="101" spans="2:10">
      <c r="B101" s="888"/>
      <c r="C101" s="888"/>
      <c r="D101" s="888"/>
      <c r="E101" s="888"/>
      <c r="F101" s="888"/>
      <c r="G101" s="888"/>
      <c r="H101" s="888"/>
    </row>
    <row r="102" spans="2:10">
      <c r="B102" s="1384" t="s">
        <v>824</v>
      </c>
      <c r="C102" s="1384"/>
      <c r="D102" s="1384"/>
      <c r="E102" s="1384"/>
      <c r="F102" s="1384"/>
      <c r="G102" s="1384"/>
      <c r="H102" s="1384"/>
      <c r="I102" s="914"/>
      <c r="J102" s="914"/>
    </row>
    <row r="103" spans="2:10">
      <c r="B103" s="888"/>
      <c r="C103" s="888"/>
      <c r="D103" s="888"/>
      <c r="E103" s="888"/>
      <c r="F103" s="888"/>
      <c r="G103" s="888"/>
      <c r="H103" s="888"/>
    </row>
    <row r="104" spans="2:10" ht="23.25" customHeight="1">
      <c r="B104" s="1384" t="s">
        <v>825</v>
      </c>
      <c r="C104" s="1384"/>
      <c r="D104" s="1384"/>
      <c r="E104" s="1384"/>
      <c r="F104" s="1384"/>
      <c r="G104" s="1384"/>
      <c r="H104" s="1384"/>
      <c r="I104" s="914"/>
      <c r="J104" s="914"/>
    </row>
    <row r="105" spans="2:10">
      <c r="B105" s="888"/>
      <c r="C105" s="888"/>
      <c r="D105" s="888"/>
      <c r="E105" s="888"/>
      <c r="F105" s="888"/>
      <c r="G105" s="888"/>
      <c r="H105" s="888"/>
    </row>
    <row r="106" spans="2:10">
      <c r="B106" s="1384" t="s">
        <v>826</v>
      </c>
      <c r="C106" s="1384"/>
      <c r="D106" s="1384"/>
      <c r="E106" s="1384"/>
      <c r="F106" s="1384"/>
      <c r="G106" s="1384"/>
      <c r="H106" s="1384"/>
      <c r="I106" s="914"/>
      <c r="J106" s="914"/>
    </row>
    <row r="107" spans="2:10">
      <c r="B107" s="913"/>
      <c r="C107" s="913"/>
      <c r="D107" s="913"/>
      <c r="E107" s="913"/>
      <c r="F107" s="913"/>
      <c r="G107" s="913"/>
      <c r="H107" s="913"/>
    </row>
    <row r="108" spans="2:10">
      <c r="B108" s="1629" t="s">
        <v>827</v>
      </c>
      <c r="C108" s="1629"/>
      <c r="D108" s="1629"/>
      <c r="E108" s="1629"/>
      <c r="F108" s="1629"/>
      <c r="G108" s="1629"/>
      <c r="H108" s="1629"/>
    </row>
    <row r="109" spans="2:10">
      <c r="B109" s="913"/>
      <c r="C109" s="913"/>
      <c r="D109" s="913"/>
      <c r="E109" s="913"/>
      <c r="F109" s="913"/>
      <c r="G109" s="913"/>
      <c r="H109" s="913"/>
    </row>
    <row r="110" spans="2:10" ht="37.5" customHeight="1">
      <c r="B110" s="1384" t="s">
        <v>828</v>
      </c>
      <c r="C110" s="1384"/>
      <c r="D110" s="1384"/>
      <c r="E110" s="1384"/>
      <c r="F110" s="1384"/>
      <c r="G110" s="1384"/>
      <c r="H110" s="1384"/>
      <c r="I110" s="914"/>
      <c r="J110" s="914"/>
    </row>
    <row r="111" spans="2:10">
      <c r="B111" s="913"/>
      <c r="C111" s="913"/>
      <c r="D111" s="913"/>
      <c r="E111" s="913"/>
      <c r="F111" s="913"/>
      <c r="G111" s="913"/>
      <c r="H111" s="913"/>
    </row>
    <row r="112" spans="2:10" ht="17.25" customHeight="1">
      <c r="B112" s="1641" t="s">
        <v>829</v>
      </c>
      <c r="C112" s="1641"/>
      <c r="D112" s="1641"/>
      <c r="E112" s="1641"/>
      <c r="F112" s="1641"/>
      <c r="G112" s="1641"/>
      <c r="H112" s="1641"/>
      <c r="I112" s="1641"/>
      <c r="J112" s="1641"/>
    </row>
    <row r="113" spans="2:10">
      <c r="B113" s="1632"/>
      <c r="C113" s="1633"/>
      <c r="D113" s="1633"/>
      <c r="E113" s="1633"/>
      <c r="F113" s="1633"/>
      <c r="G113" s="1633"/>
      <c r="H113" s="1633"/>
      <c r="I113" s="1633"/>
      <c r="J113" s="1634"/>
    </row>
    <row r="114" spans="2:10">
      <c r="B114" s="1635"/>
      <c r="C114" s="1636"/>
      <c r="D114" s="1636"/>
      <c r="E114" s="1636"/>
      <c r="F114" s="1636"/>
      <c r="G114" s="1636"/>
      <c r="H114" s="1636"/>
      <c r="I114" s="1636"/>
      <c r="J114" s="1637"/>
    </row>
    <row r="115" spans="2:10">
      <c r="B115" s="1635"/>
      <c r="C115" s="1636"/>
      <c r="D115" s="1636"/>
      <c r="E115" s="1636"/>
      <c r="F115" s="1636"/>
      <c r="G115" s="1636"/>
      <c r="H115" s="1636"/>
      <c r="I115" s="1636"/>
      <c r="J115" s="1637"/>
    </row>
    <row r="116" spans="2:10">
      <c r="B116" s="1635"/>
      <c r="C116" s="1636"/>
      <c r="D116" s="1636"/>
      <c r="E116" s="1636"/>
      <c r="F116" s="1636"/>
      <c r="G116" s="1636"/>
      <c r="H116" s="1636"/>
      <c r="I116" s="1636"/>
      <c r="J116" s="1637"/>
    </row>
    <row r="117" spans="2:10">
      <c r="B117" s="1635"/>
      <c r="C117" s="1636"/>
      <c r="D117" s="1636"/>
      <c r="E117" s="1636"/>
      <c r="F117" s="1636"/>
      <c r="G117" s="1636"/>
      <c r="H117" s="1636"/>
      <c r="I117" s="1636"/>
      <c r="J117" s="1637"/>
    </row>
    <row r="118" spans="2:10">
      <c r="B118" s="1635"/>
      <c r="C118" s="1636"/>
      <c r="D118" s="1636"/>
      <c r="E118" s="1636"/>
      <c r="F118" s="1636"/>
      <c r="G118" s="1636"/>
      <c r="H118" s="1636"/>
      <c r="I118" s="1636"/>
      <c r="J118" s="1637"/>
    </row>
    <row r="119" spans="2:10">
      <c r="B119" s="1635"/>
      <c r="C119" s="1636"/>
      <c r="D119" s="1636"/>
      <c r="E119" s="1636"/>
      <c r="F119" s="1636"/>
      <c r="G119" s="1636"/>
      <c r="H119" s="1636"/>
      <c r="I119" s="1636"/>
      <c r="J119" s="1637"/>
    </row>
    <row r="120" spans="2:10">
      <c r="B120" s="1638"/>
      <c r="C120" s="1639"/>
      <c r="D120" s="1639"/>
      <c r="E120" s="1639"/>
      <c r="F120" s="1639"/>
      <c r="G120" s="1639"/>
      <c r="H120" s="1639"/>
      <c r="I120" s="1639"/>
      <c r="J120" s="1640"/>
    </row>
  </sheetData>
  <sheetProtection password="E701" sheet="1" objects="1" scenarios="1"/>
  <mergeCells count="55">
    <mergeCell ref="B113:J120"/>
    <mergeCell ref="B102:H102"/>
    <mergeCell ref="B104:H104"/>
    <mergeCell ref="B106:H106"/>
    <mergeCell ref="B108:H108"/>
    <mergeCell ref="B110:H110"/>
    <mergeCell ref="B112:J112"/>
    <mergeCell ref="B94:H94"/>
    <mergeCell ref="B96:H96"/>
    <mergeCell ref="B98:H98"/>
    <mergeCell ref="B100:H100"/>
    <mergeCell ref="B88:H88"/>
    <mergeCell ref="B90:H90"/>
    <mergeCell ref="B91:H91"/>
    <mergeCell ref="B92:H92"/>
    <mergeCell ref="B80:H80"/>
    <mergeCell ref="B82:H82"/>
    <mergeCell ref="B84:H84"/>
    <mergeCell ref="B86:H86"/>
    <mergeCell ref="B72:H72"/>
    <mergeCell ref="B74:H74"/>
    <mergeCell ref="B76:H76"/>
    <mergeCell ref="B78:H78"/>
    <mergeCell ref="B55:H55"/>
    <mergeCell ref="B57:H57"/>
    <mergeCell ref="B59:J59"/>
    <mergeCell ref="B60:J67"/>
    <mergeCell ref="B47:H47"/>
    <mergeCell ref="B49:H49"/>
    <mergeCell ref="B51:H51"/>
    <mergeCell ref="B53:H53"/>
    <mergeCell ref="B39:H39"/>
    <mergeCell ref="B41:H41"/>
    <mergeCell ref="B43:H43"/>
    <mergeCell ref="B45:H45"/>
    <mergeCell ref="B31:H31"/>
    <mergeCell ref="B33:H33"/>
    <mergeCell ref="B35:H35"/>
    <mergeCell ref="B37:H37"/>
    <mergeCell ref="D14:F14"/>
    <mergeCell ref="B18:J23"/>
    <mergeCell ref="B27:H27"/>
    <mergeCell ref="B29:H29"/>
    <mergeCell ref="D12:F12"/>
    <mergeCell ref="H12:J12"/>
    <mergeCell ref="D13:F13"/>
    <mergeCell ref="H13:J13"/>
    <mergeCell ref="D6:F6"/>
    <mergeCell ref="H6:J6"/>
    <mergeCell ref="D7:F7"/>
    <mergeCell ref="D10:J10"/>
    <mergeCell ref="B1:J1"/>
    <mergeCell ref="D3:J3"/>
    <mergeCell ref="D5:F5"/>
    <mergeCell ref="H5:J5"/>
  </mergeCells>
  <phoneticPr fontId="51" type="noConversion"/>
  <pageMargins left="0.75" right="0.75" top="1" bottom="1" header="0.5" footer="0.5"/>
  <pageSetup scale="69" orientation="portrait" r:id="rId1"/>
  <headerFooter alignWithMargins="0">
    <oddFooter>&amp;CEnvironmental Restrictions Checklist&amp;R&amp;P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6"/>
  <dimension ref="B1:L117"/>
  <sheetViews>
    <sheetView zoomScaleNormal="100" workbookViewId="0">
      <selection activeCell="L5" sqref="L5"/>
    </sheetView>
  </sheetViews>
  <sheetFormatPr baseColWidth="10" defaultColWidth="9.1640625" defaultRowHeight="13"/>
  <cols>
    <col min="1" max="1" width="2.83203125" style="1" customWidth="1"/>
    <col min="2" max="2" width="9.5" style="1" customWidth="1"/>
    <col min="3" max="9" width="11.6640625" style="1" customWidth="1"/>
    <col min="10" max="10" width="2.83203125" style="1" customWidth="1"/>
    <col min="11" max="16384" width="9.1640625" style="1"/>
  </cols>
  <sheetData>
    <row r="1" spans="2:12" ht="14" thickBot="1">
      <c r="H1" s="879">
        <f>+Name</f>
        <v>0</v>
      </c>
      <c r="I1" s="916" t="e">
        <f>+'Appendix 41'!G1</f>
        <v>#N/A</v>
      </c>
    </row>
    <row r="2" spans="2:12" ht="15" thickTop="1" thickBot="1">
      <c r="B2" s="1668" t="s">
        <v>149</v>
      </c>
      <c r="C2" s="1669"/>
      <c r="D2" s="1669"/>
      <c r="E2" s="1669"/>
      <c r="F2" s="1669"/>
      <c r="G2" s="1669"/>
      <c r="H2" s="1669"/>
      <c r="I2" s="1670"/>
    </row>
    <row r="3" spans="2:12" ht="14" thickTop="1"/>
    <row r="4" spans="2:12" ht="40.5" customHeight="1">
      <c r="B4" s="1384" t="s">
        <v>150</v>
      </c>
      <c r="C4" s="1384"/>
      <c r="D4" s="1384"/>
      <c r="E4" s="1384"/>
      <c r="F4" s="1384"/>
      <c r="G4" s="1384"/>
      <c r="H4" s="1384"/>
      <c r="I4" s="1384"/>
    </row>
    <row r="6" spans="2:12" ht="26.25" customHeight="1">
      <c r="B6" s="1384" t="s">
        <v>151</v>
      </c>
      <c r="C6" s="1384"/>
      <c r="D6" s="1384"/>
      <c r="E6" s="1384"/>
      <c r="F6" s="1384"/>
      <c r="G6" s="1384"/>
      <c r="H6" s="1384"/>
      <c r="I6" s="1384"/>
    </row>
    <row r="7" spans="2:12" ht="19.5" customHeight="1">
      <c r="B7" s="892" t="s">
        <v>152</v>
      </c>
      <c r="C7" s="892"/>
    </row>
    <row r="8" spans="2:12">
      <c r="B8" s="1671"/>
      <c r="C8" s="1672"/>
      <c r="D8" s="1672"/>
      <c r="E8" s="1672"/>
      <c r="F8" s="1672"/>
      <c r="G8" s="1672"/>
      <c r="H8" s="1672"/>
      <c r="I8" s="1673"/>
      <c r="J8" s="902"/>
      <c r="K8" s="903"/>
      <c r="L8" s="903"/>
    </row>
    <row r="9" spans="2:12">
      <c r="B9" s="1674"/>
      <c r="C9" s="1675"/>
      <c r="D9" s="1675"/>
      <c r="E9" s="1675"/>
      <c r="F9" s="1675"/>
      <c r="G9" s="1675"/>
      <c r="H9" s="1675"/>
      <c r="I9" s="1676"/>
      <c r="J9" s="902"/>
      <c r="K9" s="903"/>
      <c r="L9" s="903"/>
    </row>
    <row r="10" spans="2:12">
      <c r="B10" s="1674"/>
      <c r="C10" s="1675"/>
      <c r="D10" s="1675"/>
      <c r="E10" s="1675"/>
      <c r="F10" s="1675"/>
      <c r="G10" s="1675"/>
      <c r="H10" s="1675"/>
      <c r="I10" s="1676"/>
      <c r="J10" s="902"/>
      <c r="K10" s="903"/>
      <c r="L10" s="903"/>
    </row>
    <row r="11" spans="2:12">
      <c r="B11" s="1674"/>
      <c r="C11" s="1675"/>
      <c r="D11" s="1675"/>
      <c r="E11" s="1675"/>
      <c r="F11" s="1675"/>
      <c r="G11" s="1675"/>
      <c r="H11" s="1675"/>
      <c r="I11" s="1676"/>
      <c r="J11" s="902"/>
      <c r="K11" s="903"/>
      <c r="L11" s="903"/>
    </row>
    <row r="12" spans="2:12">
      <c r="B12" s="1674"/>
      <c r="C12" s="1675"/>
      <c r="D12" s="1675"/>
      <c r="E12" s="1675"/>
      <c r="F12" s="1675"/>
      <c r="G12" s="1675"/>
      <c r="H12" s="1675"/>
      <c r="I12" s="1676"/>
      <c r="J12" s="902"/>
      <c r="K12" s="903"/>
      <c r="L12" s="903"/>
    </row>
    <row r="13" spans="2:12">
      <c r="B13" s="1674"/>
      <c r="C13" s="1675"/>
      <c r="D13" s="1675"/>
      <c r="E13" s="1675"/>
      <c r="F13" s="1675"/>
      <c r="G13" s="1675"/>
      <c r="H13" s="1675"/>
      <c r="I13" s="1676"/>
      <c r="J13" s="902"/>
      <c r="K13" s="903"/>
      <c r="L13" s="903"/>
    </row>
    <row r="14" spans="2:12">
      <c r="B14" s="1674"/>
      <c r="C14" s="1675"/>
      <c r="D14" s="1675"/>
      <c r="E14" s="1675"/>
      <c r="F14" s="1675"/>
      <c r="G14" s="1675"/>
      <c r="H14" s="1675"/>
      <c r="I14" s="1676"/>
      <c r="J14" s="902"/>
      <c r="K14" s="903"/>
      <c r="L14" s="903"/>
    </row>
    <row r="15" spans="2:12">
      <c r="B15" s="1674"/>
      <c r="C15" s="1675"/>
      <c r="D15" s="1675"/>
      <c r="E15" s="1675"/>
      <c r="F15" s="1675"/>
      <c r="G15" s="1675"/>
      <c r="H15" s="1675"/>
      <c r="I15" s="1676"/>
      <c r="J15" s="902"/>
      <c r="K15" s="903"/>
      <c r="L15" s="903"/>
    </row>
    <row r="16" spans="2:12">
      <c r="B16" s="1674"/>
      <c r="C16" s="1675"/>
      <c r="D16" s="1675"/>
      <c r="E16" s="1675"/>
      <c r="F16" s="1675"/>
      <c r="G16" s="1675"/>
      <c r="H16" s="1675"/>
      <c r="I16" s="1676"/>
      <c r="J16" s="902"/>
      <c r="K16" s="903"/>
      <c r="L16" s="903"/>
    </row>
    <row r="17" spans="2:12">
      <c r="B17" s="1674"/>
      <c r="C17" s="1675"/>
      <c r="D17" s="1675"/>
      <c r="E17" s="1675"/>
      <c r="F17" s="1675"/>
      <c r="G17" s="1675"/>
      <c r="H17" s="1675"/>
      <c r="I17" s="1676"/>
      <c r="J17" s="902"/>
      <c r="K17" s="903"/>
      <c r="L17" s="903"/>
    </row>
    <row r="18" spans="2:12">
      <c r="B18" s="1674"/>
      <c r="C18" s="1675"/>
      <c r="D18" s="1675"/>
      <c r="E18" s="1675"/>
      <c r="F18" s="1675"/>
      <c r="G18" s="1675"/>
      <c r="H18" s="1675"/>
      <c r="I18" s="1676"/>
      <c r="J18" s="902"/>
      <c r="K18" s="903"/>
      <c r="L18" s="903"/>
    </row>
    <row r="19" spans="2:12">
      <c r="B19" s="1674"/>
      <c r="C19" s="1675"/>
      <c r="D19" s="1675"/>
      <c r="E19" s="1675"/>
      <c r="F19" s="1675"/>
      <c r="G19" s="1675"/>
      <c r="H19" s="1675"/>
      <c r="I19" s="1676"/>
      <c r="J19" s="902"/>
      <c r="K19" s="903"/>
      <c r="L19" s="903"/>
    </row>
    <row r="20" spans="2:12">
      <c r="B20" s="1674"/>
      <c r="C20" s="1675"/>
      <c r="D20" s="1675"/>
      <c r="E20" s="1675"/>
      <c r="F20" s="1675"/>
      <c r="G20" s="1675"/>
      <c r="H20" s="1675"/>
      <c r="I20" s="1676"/>
      <c r="J20" s="902"/>
      <c r="K20" s="903"/>
      <c r="L20" s="903"/>
    </row>
    <row r="21" spans="2:12">
      <c r="B21" s="1677"/>
      <c r="C21" s="1678"/>
      <c r="D21" s="1678"/>
      <c r="E21" s="1678"/>
      <c r="F21" s="1678"/>
      <c r="G21" s="1678"/>
      <c r="H21" s="1678"/>
      <c r="I21" s="1679"/>
      <c r="J21" s="902"/>
      <c r="K21" s="903"/>
      <c r="L21" s="903"/>
    </row>
    <row r="23" spans="2:12">
      <c r="B23" s="1384" t="s">
        <v>1137</v>
      </c>
      <c r="C23" s="1384"/>
      <c r="D23" s="1384"/>
      <c r="E23" s="1384"/>
      <c r="F23" s="1384"/>
      <c r="G23" s="1384"/>
      <c r="H23" s="1384"/>
      <c r="I23" s="1384"/>
    </row>
    <row r="24" spans="2:12">
      <c r="B24" s="1649"/>
      <c r="C24" s="1650"/>
      <c r="D24" s="1650"/>
      <c r="E24" s="1650"/>
      <c r="F24" s="1650"/>
      <c r="G24" s="1650"/>
      <c r="H24" s="1650"/>
      <c r="I24" s="1651"/>
    </row>
    <row r="25" spans="2:12">
      <c r="B25" s="1652"/>
      <c r="C25" s="1653"/>
      <c r="D25" s="1653"/>
      <c r="E25" s="1653"/>
      <c r="F25" s="1653"/>
      <c r="G25" s="1653"/>
      <c r="H25" s="1653"/>
      <c r="I25" s="1654"/>
    </row>
    <row r="27" spans="2:12" ht="13.5" customHeight="1">
      <c r="B27" s="1667" t="s">
        <v>1284</v>
      </c>
      <c r="C27" s="1667"/>
      <c r="D27" s="1667"/>
      <c r="E27" s="1667"/>
      <c r="F27" s="1667"/>
      <c r="G27" s="1667"/>
      <c r="H27" s="1667"/>
      <c r="I27" s="1667"/>
    </row>
    <row r="28" spans="2:12">
      <c r="B28" s="893"/>
      <c r="C28" s="894" t="s">
        <v>1280</v>
      </c>
      <c r="D28" s="894" t="s">
        <v>920</v>
      </c>
      <c r="E28" s="894" t="s">
        <v>1281</v>
      </c>
      <c r="F28" s="894" t="s">
        <v>919</v>
      </c>
      <c r="G28" s="894" t="s">
        <v>1018</v>
      </c>
      <c r="H28" s="894" t="s">
        <v>1394</v>
      </c>
      <c r="I28" s="894" t="s">
        <v>153</v>
      </c>
    </row>
    <row r="29" spans="2:12" ht="65.25" customHeight="1">
      <c r="B29" s="895" t="s">
        <v>154</v>
      </c>
      <c r="C29" s="896" t="s">
        <v>155</v>
      </c>
      <c r="D29" s="896" t="s">
        <v>156</v>
      </c>
      <c r="E29" s="896" t="s">
        <v>157</v>
      </c>
      <c r="F29" s="896" t="s">
        <v>158</v>
      </c>
      <c r="G29" s="896" t="s">
        <v>698</v>
      </c>
      <c r="H29" s="896" t="s">
        <v>699</v>
      </c>
      <c r="I29" s="896" t="s">
        <v>700</v>
      </c>
    </row>
    <row r="30" spans="2:12" ht="19.5" customHeight="1">
      <c r="B30" s="897" t="s">
        <v>701</v>
      </c>
      <c r="C30" s="898"/>
      <c r="D30" s="898"/>
      <c r="E30" s="898"/>
      <c r="F30" s="922"/>
      <c r="G30" s="898"/>
      <c r="H30" s="898"/>
      <c r="I30" s="898"/>
    </row>
    <row r="31" spans="2:12" ht="20.25" customHeight="1">
      <c r="B31" s="897" t="s">
        <v>702</v>
      </c>
      <c r="C31" s="898"/>
      <c r="D31" s="898"/>
      <c r="E31" s="898"/>
      <c r="F31" s="922"/>
      <c r="G31" s="898"/>
      <c r="H31" s="898"/>
      <c r="I31" s="898"/>
    </row>
    <row r="32" spans="2:12" ht="20.25" customHeight="1">
      <c r="B32" s="897" t="s">
        <v>703</v>
      </c>
      <c r="C32" s="898"/>
      <c r="D32" s="898"/>
      <c r="E32" s="898"/>
      <c r="F32" s="922"/>
      <c r="G32" s="898"/>
      <c r="H32" s="898"/>
      <c r="I32" s="898"/>
    </row>
    <row r="33" spans="2:9" ht="18" customHeight="1">
      <c r="B33" s="897" t="s">
        <v>704</v>
      </c>
      <c r="C33" s="898"/>
      <c r="D33" s="898"/>
      <c r="E33" s="898"/>
      <c r="F33" s="922"/>
      <c r="G33" s="898"/>
      <c r="H33" s="898"/>
      <c r="I33" s="898"/>
    </row>
    <row r="34" spans="2:9" ht="19.5" customHeight="1">
      <c r="B34" s="897" t="s">
        <v>705</v>
      </c>
      <c r="C34" s="898"/>
      <c r="D34" s="898"/>
      <c r="E34" s="898"/>
      <c r="F34" s="922"/>
      <c r="G34" s="898"/>
      <c r="H34" s="898"/>
      <c r="I34" s="898"/>
    </row>
    <row r="36" spans="2:9">
      <c r="B36" s="1644" t="s">
        <v>1285</v>
      </c>
      <c r="C36" s="1644"/>
      <c r="D36" s="1644"/>
      <c r="E36" s="1644"/>
      <c r="F36" s="1644"/>
      <c r="G36" s="1644"/>
      <c r="H36" s="1644"/>
      <c r="I36" s="1644"/>
    </row>
    <row r="37" spans="2:9">
      <c r="B37" s="1644"/>
      <c r="C37" s="1644"/>
      <c r="D37" s="1644"/>
      <c r="E37" s="1644"/>
      <c r="F37" s="1644"/>
      <c r="G37" s="1644"/>
      <c r="H37" s="1644"/>
      <c r="I37" s="1644"/>
    </row>
    <row r="38" spans="2:9" ht="41.25" customHeight="1">
      <c r="B38" s="919" t="s">
        <v>154</v>
      </c>
      <c r="C38" s="920" t="s">
        <v>1286</v>
      </c>
      <c r="D38" s="920" t="s">
        <v>1287</v>
      </c>
      <c r="E38" s="921" t="s">
        <v>1288</v>
      </c>
      <c r="F38" s="913"/>
      <c r="G38" s="913"/>
      <c r="H38" s="913"/>
      <c r="I38" s="913"/>
    </row>
    <row r="39" spans="2:9" ht="19.5" customHeight="1">
      <c r="B39" s="897" t="s">
        <v>701</v>
      </c>
      <c r="C39" s="922"/>
      <c r="D39" s="922"/>
      <c r="E39" s="923"/>
    </row>
    <row r="40" spans="2:9" ht="19.5" customHeight="1">
      <c r="B40" s="897" t="s">
        <v>702</v>
      </c>
      <c r="C40" s="922"/>
      <c r="D40" s="922"/>
      <c r="E40" s="923"/>
    </row>
    <row r="41" spans="2:9" ht="19.5" customHeight="1">
      <c r="B41" s="897" t="s">
        <v>703</v>
      </c>
      <c r="C41" s="922"/>
      <c r="D41" s="922"/>
      <c r="E41" s="923"/>
    </row>
    <row r="42" spans="2:9" ht="19.5" customHeight="1">
      <c r="B42" s="897" t="s">
        <v>704</v>
      </c>
      <c r="C42" s="922"/>
      <c r="D42" s="922"/>
      <c r="E42" s="923"/>
    </row>
    <row r="43" spans="2:9" ht="19.5" customHeight="1">
      <c r="B43" s="897" t="s">
        <v>705</v>
      </c>
      <c r="C43" s="922"/>
      <c r="D43" s="922"/>
      <c r="E43" s="923"/>
    </row>
    <row r="45" spans="2:9">
      <c r="B45" s="1644" t="s">
        <v>1315</v>
      </c>
      <c r="C45" s="1644"/>
      <c r="D45" s="1644"/>
      <c r="E45" s="1644"/>
      <c r="F45" s="1644"/>
      <c r="G45" s="1644"/>
      <c r="H45" s="1644"/>
      <c r="I45" s="1644"/>
    </row>
    <row r="46" spans="2:9">
      <c r="B46" s="1644"/>
      <c r="C46" s="1644"/>
      <c r="D46" s="1644"/>
      <c r="E46" s="1644"/>
      <c r="F46" s="1644"/>
      <c r="G46" s="1644"/>
      <c r="H46" s="1644"/>
      <c r="I46" s="1644"/>
    </row>
    <row r="47" spans="2:9" ht="21.75" customHeight="1">
      <c r="B47" s="918"/>
      <c r="C47" s="1659" t="s">
        <v>1320</v>
      </c>
      <c r="D47" s="1660"/>
      <c r="E47" s="1660"/>
      <c r="F47" s="1661"/>
      <c r="G47" s="918"/>
      <c r="H47" s="918"/>
      <c r="I47" s="918"/>
    </row>
    <row r="48" spans="2:9" ht="14">
      <c r="B48" s="919" t="s">
        <v>154</v>
      </c>
      <c r="C48" s="920" t="s">
        <v>1316</v>
      </c>
      <c r="D48" s="920" t="s">
        <v>1317</v>
      </c>
      <c r="E48" s="921" t="s">
        <v>1318</v>
      </c>
      <c r="F48" s="921" t="s">
        <v>1319</v>
      </c>
      <c r="G48" s="913"/>
      <c r="H48" s="913"/>
      <c r="I48" s="913"/>
    </row>
    <row r="49" spans="2:9" ht="19.5" customHeight="1">
      <c r="B49" s="897" t="s">
        <v>701</v>
      </c>
      <c r="C49" s="924"/>
      <c r="D49" s="924"/>
      <c r="E49" s="924"/>
      <c r="F49" s="924"/>
    </row>
    <row r="50" spans="2:9" ht="19.5" customHeight="1">
      <c r="B50" s="897" t="s">
        <v>702</v>
      </c>
      <c r="C50" s="924"/>
      <c r="D50" s="924"/>
      <c r="E50" s="924"/>
      <c r="F50" s="924"/>
    </row>
    <row r="51" spans="2:9" ht="19.5" customHeight="1">
      <c r="B51" s="897" t="s">
        <v>703</v>
      </c>
      <c r="C51" s="924"/>
      <c r="D51" s="924"/>
      <c r="E51" s="924"/>
      <c r="F51" s="924"/>
    </row>
    <row r="52" spans="2:9" ht="19.5" customHeight="1">
      <c r="B52" s="897" t="s">
        <v>704</v>
      </c>
      <c r="C52" s="924"/>
      <c r="D52" s="924"/>
      <c r="E52" s="924"/>
      <c r="F52" s="924"/>
    </row>
    <row r="53" spans="2:9" ht="19.5" customHeight="1">
      <c r="B53" s="897" t="s">
        <v>705</v>
      </c>
      <c r="C53" s="924"/>
      <c r="D53" s="924"/>
      <c r="E53" s="924"/>
      <c r="F53" s="924"/>
    </row>
    <row r="54" spans="2:9" ht="19.5" customHeight="1">
      <c r="B54" s="897" t="s">
        <v>494</v>
      </c>
      <c r="C54" s="925">
        <f>SUM(C49:C53)</f>
        <v>0</v>
      </c>
      <c r="D54" s="925">
        <f>SUM(D49:D53)</f>
        <v>0</v>
      </c>
      <c r="E54" s="925">
        <f>SUM(E49:E53)</f>
        <v>0</v>
      </c>
      <c r="F54" s="925">
        <f>SUM(F49:F53)</f>
        <v>0</v>
      </c>
    </row>
    <row r="56" spans="2:9">
      <c r="B56" s="1644" t="s">
        <v>1321</v>
      </c>
      <c r="C56" s="1644"/>
      <c r="D56" s="1644"/>
      <c r="E56" s="1644"/>
      <c r="F56" s="1644"/>
      <c r="G56" s="1644"/>
      <c r="H56" s="1644"/>
      <c r="I56" s="1644"/>
    </row>
    <row r="57" spans="2:9">
      <c r="B57" s="1644"/>
      <c r="C57" s="1644"/>
      <c r="D57" s="1644"/>
      <c r="E57" s="1644"/>
      <c r="F57" s="1644"/>
      <c r="G57" s="1644"/>
      <c r="H57" s="1644"/>
      <c r="I57" s="1644"/>
    </row>
    <row r="59" spans="2:9" ht="19.5" customHeight="1">
      <c r="B59" s="1" t="s">
        <v>1322</v>
      </c>
      <c r="E59" s="1662"/>
      <c r="F59" s="1663"/>
    </row>
    <row r="61" spans="2:9" ht="19.5" customHeight="1">
      <c r="B61" s="1664" t="s">
        <v>1324</v>
      </c>
      <c r="C61" s="1665"/>
      <c r="D61" s="1665" t="s">
        <v>1323</v>
      </c>
      <c r="E61" s="1666"/>
    </row>
    <row r="62" spans="2:9" ht="19.5" customHeight="1">
      <c r="B62" s="1655">
        <v>0.1</v>
      </c>
      <c r="C62" s="1656"/>
      <c r="D62" s="1657"/>
      <c r="E62" s="1658"/>
    </row>
    <row r="63" spans="2:9" ht="19.5" customHeight="1">
      <c r="B63" s="1655">
        <v>0.5</v>
      </c>
      <c r="C63" s="1656"/>
      <c r="D63" s="1657"/>
      <c r="E63" s="1658"/>
    </row>
    <row r="64" spans="2:9" ht="19.5" customHeight="1">
      <c r="B64" s="1655">
        <v>0.75</v>
      </c>
      <c r="C64" s="1656"/>
      <c r="D64" s="1657"/>
      <c r="E64" s="1658"/>
    </row>
    <row r="65" spans="2:9" ht="19.5" customHeight="1">
      <c r="B65" s="1655">
        <v>0.9</v>
      </c>
      <c r="C65" s="1656"/>
      <c r="D65" s="1657"/>
      <c r="E65" s="1658"/>
    </row>
    <row r="66" spans="2:9" ht="19.5" customHeight="1">
      <c r="B66" s="1655">
        <v>1</v>
      </c>
      <c r="C66" s="1656"/>
      <c r="D66" s="1657"/>
      <c r="E66" s="1658"/>
    </row>
    <row r="68" spans="2:9">
      <c r="B68" s="1644" t="s">
        <v>1801</v>
      </c>
      <c r="C68" s="1644"/>
      <c r="D68" s="1644"/>
      <c r="E68" s="1644"/>
      <c r="F68" s="1644"/>
      <c r="G68" s="1644"/>
      <c r="H68" s="1644"/>
      <c r="I68" s="1644"/>
    </row>
    <row r="69" spans="2:9" ht="24.75" customHeight="1">
      <c r="B69" s="1644"/>
      <c r="C69" s="1644"/>
      <c r="D69" s="1644"/>
      <c r="E69" s="1644"/>
      <c r="F69" s="1644"/>
      <c r="G69" s="1644"/>
      <c r="H69" s="1644"/>
      <c r="I69" s="1644"/>
    </row>
    <row r="70" spans="2:9" ht="12.75" customHeight="1">
      <c r="B70" s="918"/>
      <c r="C70" s="1659" t="s">
        <v>1802</v>
      </c>
      <c r="D70" s="1660"/>
      <c r="E70" s="1661"/>
    </row>
    <row r="71" spans="2:9" ht="19.5" customHeight="1">
      <c r="B71" s="919" t="s">
        <v>154</v>
      </c>
      <c r="C71" s="920" t="s">
        <v>429</v>
      </c>
      <c r="D71" s="920" t="s">
        <v>1803</v>
      </c>
      <c r="E71" s="921" t="s">
        <v>1804</v>
      </c>
    </row>
    <row r="72" spans="2:9" ht="19.5" customHeight="1">
      <c r="B72" s="897" t="s">
        <v>701</v>
      </c>
      <c r="C72" s="926"/>
      <c r="D72" s="926"/>
      <c r="E72" s="926"/>
    </row>
    <row r="73" spans="2:9" ht="19.5" customHeight="1">
      <c r="B73" s="897" t="s">
        <v>702</v>
      </c>
      <c r="C73" s="926"/>
      <c r="D73" s="926"/>
      <c r="E73" s="926"/>
    </row>
    <row r="74" spans="2:9" ht="19.5" customHeight="1">
      <c r="B74" s="897" t="s">
        <v>703</v>
      </c>
      <c r="C74" s="926" t="s">
        <v>1561</v>
      </c>
      <c r="D74" s="926"/>
      <c r="E74" s="926"/>
    </row>
    <row r="75" spans="2:9" ht="19.5" customHeight="1">
      <c r="B75" s="897" t="s">
        <v>704</v>
      </c>
      <c r="C75" s="926" t="s">
        <v>1561</v>
      </c>
      <c r="D75" s="926"/>
      <c r="E75" s="926"/>
    </row>
    <row r="76" spans="2:9" ht="19.5" customHeight="1">
      <c r="B76" s="897" t="s">
        <v>705</v>
      </c>
      <c r="C76" s="926" t="s">
        <v>1561</v>
      </c>
      <c r="D76" s="926"/>
      <c r="E76" s="926"/>
    </row>
    <row r="79" spans="2:9">
      <c r="B79" s="1644" t="s">
        <v>1805</v>
      </c>
      <c r="C79" s="1644"/>
      <c r="D79" s="1644"/>
      <c r="E79" s="1644"/>
      <c r="F79" s="1644"/>
      <c r="G79" s="1644"/>
      <c r="H79" s="1644"/>
      <c r="I79" s="1644"/>
    </row>
    <row r="80" spans="2:9" ht="24.75" customHeight="1">
      <c r="B80" s="1644"/>
      <c r="C80" s="1644"/>
      <c r="D80" s="1644"/>
      <c r="E80" s="1644"/>
      <c r="F80" s="1644"/>
      <c r="G80" s="1644"/>
      <c r="H80" s="1644"/>
      <c r="I80" s="1644"/>
    </row>
    <row r="81" spans="2:9">
      <c r="B81" s="918"/>
      <c r="C81" s="1659" t="s">
        <v>1806</v>
      </c>
      <c r="D81" s="1660"/>
      <c r="E81" s="1661"/>
    </row>
    <row r="82" spans="2:9" ht="19.5" customHeight="1">
      <c r="B82" s="919" t="s">
        <v>154</v>
      </c>
      <c r="C82" s="920" t="s">
        <v>429</v>
      </c>
      <c r="D82" s="920" t="s">
        <v>1803</v>
      </c>
      <c r="E82" s="921" t="s">
        <v>1804</v>
      </c>
    </row>
    <row r="83" spans="2:9" ht="19.5" customHeight="1">
      <c r="B83" s="897" t="s">
        <v>701</v>
      </c>
      <c r="C83" s="926"/>
      <c r="D83" s="926"/>
      <c r="E83" s="926"/>
    </row>
    <row r="84" spans="2:9" ht="19.5" customHeight="1">
      <c r="B84" s="897" t="s">
        <v>702</v>
      </c>
      <c r="C84" s="926"/>
      <c r="D84" s="926"/>
      <c r="E84" s="926"/>
    </row>
    <row r="85" spans="2:9" ht="19.5" customHeight="1">
      <c r="B85" s="897" t="s">
        <v>703</v>
      </c>
      <c r="C85" s="926" t="s">
        <v>1561</v>
      </c>
      <c r="D85" s="926"/>
      <c r="E85" s="926"/>
    </row>
    <row r="86" spans="2:9" ht="19.5" customHeight="1">
      <c r="B86" s="897" t="s">
        <v>704</v>
      </c>
      <c r="C86" s="926" t="s">
        <v>1561</v>
      </c>
      <c r="D86" s="926"/>
      <c r="E86" s="926"/>
    </row>
    <row r="87" spans="2:9" ht="19.5" customHeight="1">
      <c r="B87" s="897" t="s">
        <v>705</v>
      </c>
      <c r="C87" s="926" t="s">
        <v>1561</v>
      </c>
      <c r="D87" s="926"/>
      <c r="E87" s="926"/>
    </row>
    <row r="89" spans="2:9">
      <c r="B89" s="1644" t="s">
        <v>1807</v>
      </c>
      <c r="C89" s="1644"/>
      <c r="D89" s="1644"/>
      <c r="E89" s="1644"/>
      <c r="F89" s="1644"/>
      <c r="G89" s="1644"/>
      <c r="H89" s="1644"/>
      <c r="I89" s="1644"/>
    </row>
    <row r="90" spans="2:9" ht="3.75" customHeight="1">
      <c r="B90" s="1644"/>
      <c r="C90" s="1644"/>
      <c r="D90" s="1644"/>
      <c r="E90" s="1644"/>
      <c r="F90" s="1644"/>
      <c r="G90" s="1644"/>
      <c r="H90" s="1644"/>
      <c r="I90" s="1644"/>
    </row>
    <row r="91" spans="2:9" ht="19.5" customHeight="1">
      <c r="B91" s="1642"/>
      <c r="C91" s="1643"/>
    </row>
    <row r="93" spans="2:9">
      <c r="B93" s="1644" t="s">
        <v>1808</v>
      </c>
      <c r="C93" s="1644"/>
      <c r="D93" s="1644"/>
      <c r="E93" s="1644"/>
      <c r="F93" s="1644"/>
      <c r="G93" s="1644"/>
      <c r="H93" s="1644"/>
      <c r="I93" s="1644"/>
    </row>
    <row r="94" spans="2:9" ht="4.5" customHeight="1">
      <c r="B94" s="1644"/>
      <c r="C94" s="1644"/>
      <c r="D94" s="1644"/>
      <c r="E94" s="1644"/>
      <c r="F94" s="1644"/>
      <c r="G94" s="1644"/>
      <c r="H94" s="1644"/>
      <c r="I94" s="1644"/>
    </row>
    <row r="95" spans="2:9">
      <c r="B95" s="1649"/>
      <c r="C95" s="1650"/>
      <c r="D95" s="1650"/>
      <c r="E95" s="1650"/>
      <c r="F95" s="1650"/>
      <c r="G95" s="1650"/>
      <c r="H95" s="1650"/>
      <c r="I95" s="1651"/>
    </row>
    <row r="96" spans="2:9">
      <c r="B96" s="1652"/>
      <c r="C96" s="1653"/>
      <c r="D96" s="1653"/>
      <c r="E96" s="1653"/>
      <c r="F96" s="1653"/>
      <c r="G96" s="1653"/>
      <c r="H96" s="1653"/>
      <c r="I96" s="1654"/>
    </row>
    <row r="98" spans="2:9">
      <c r="B98" s="1644" t="s">
        <v>1809</v>
      </c>
      <c r="C98" s="1644"/>
      <c r="D98" s="1644"/>
      <c r="E98" s="1644"/>
      <c r="F98" s="1644"/>
      <c r="G98" s="1644"/>
      <c r="H98" s="1644"/>
      <c r="I98" s="1644"/>
    </row>
    <row r="99" spans="2:9" ht="13.5" customHeight="1">
      <c r="B99" s="1644"/>
      <c r="C99" s="1644"/>
      <c r="D99" s="1644"/>
      <c r="E99" s="1644"/>
      <c r="F99" s="1644"/>
      <c r="G99" s="1644"/>
      <c r="H99" s="1644"/>
      <c r="I99" s="1644"/>
    </row>
    <row r="100" spans="2:9" ht="19.5" customHeight="1">
      <c r="B100" s="1642"/>
      <c r="C100" s="1643"/>
    </row>
    <row r="102" spans="2:9">
      <c r="B102" s="1644" t="s">
        <v>1343</v>
      </c>
      <c r="C102" s="1644"/>
      <c r="D102" s="1644"/>
      <c r="E102" s="1644"/>
      <c r="F102" s="1644"/>
      <c r="G102" s="1644"/>
      <c r="H102" s="1644"/>
      <c r="I102" s="1644"/>
    </row>
    <row r="103" spans="2:9" ht="3" customHeight="1">
      <c r="B103" s="1644"/>
      <c r="C103" s="1644"/>
      <c r="D103" s="1644"/>
      <c r="E103" s="1644"/>
      <c r="F103" s="1644"/>
      <c r="G103" s="1644"/>
      <c r="H103" s="1644"/>
      <c r="I103" s="1644"/>
    </row>
    <row r="104" spans="2:9" ht="19.5" customHeight="1">
      <c r="B104" s="1647"/>
      <c r="C104" s="1648"/>
    </row>
    <row r="106" spans="2:9">
      <c r="B106" s="1384" t="s">
        <v>1780</v>
      </c>
      <c r="C106" s="1644"/>
      <c r="D106" s="1644"/>
      <c r="E106" s="1644"/>
      <c r="F106" s="1644"/>
      <c r="G106" s="1644"/>
      <c r="H106" s="1644"/>
      <c r="I106" s="1644"/>
    </row>
    <row r="107" spans="2:9">
      <c r="B107" s="1644"/>
      <c r="C107" s="1644"/>
      <c r="D107" s="1644"/>
      <c r="E107" s="1644"/>
      <c r="F107" s="1644"/>
      <c r="G107" s="1644"/>
      <c r="H107" s="1644"/>
      <c r="I107" s="1644"/>
    </row>
    <row r="108" spans="2:9">
      <c r="D108" s="1388" t="s">
        <v>187</v>
      </c>
      <c r="E108" s="1388"/>
      <c r="G108" s="1388" t="s">
        <v>1345</v>
      </c>
      <c r="H108" s="1388"/>
    </row>
    <row r="109" spans="2:9" ht="19.5" customHeight="1">
      <c r="B109" s="1" t="s">
        <v>1344</v>
      </c>
      <c r="D109" s="1645"/>
      <c r="E109" s="1646"/>
      <c r="F109" s="917" t="s">
        <v>1779</v>
      </c>
      <c r="G109" s="1645"/>
      <c r="H109" s="1646"/>
      <c r="I109" s="917" t="s">
        <v>1779</v>
      </c>
    </row>
    <row r="112" spans="2:9" ht="19.5" customHeight="1">
      <c r="E112" s="1" t="s">
        <v>706</v>
      </c>
      <c r="H112" s="899"/>
    </row>
    <row r="113" spans="5:9" ht="19.5" customHeight="1">
      <c r="E113" s="1" t="s">
        <v>707</v>
      </c>
      <c r="F113" s="899"/>
      <c r="G113" s="1" t="s">
        <v>2049</v>
      </c>
    </row>
    <row r="116" spans="5:9">
      <c r="E116" s="1" t="s">
        <v>1882</v>
      </c>
      <c r="F116" s="900"/>
      <c r="G116" s="900"/>
      <c r="H116" s="900"/>
      <c r="I116" s="900"/>
    </row>
    <row r="117" spans="5:9">
      <c r="F117" s="901" t="s">
        <v>679</v>
      </c>
    </row>
  </sheetData>
  <mergeCells count="41">
    <mergeCell ref="B36:I37"/>
    <mergeCell ref="B27:I27"/>
    <mergeCell ref="B2:I2"/>
    <mergeCell ref="B4:I4"/>
    <mergeCell ref="B6:I6"/>
    <mergeCell ref="B8:I21"/>
    <mergeCell ref="B23:I23"/>
    <mergeCell ref="B24:I25"/>
    <mergeCell ref="B45:I46"/>
    <mergeCell ref="C47:F47"/>
    <mergeCell ref="B56:I57"/>
    <mergeCell ref="E59:F59"/>
    <mergeCell ref="B61:C61"/>
    <mergeCell ref="D61:E61"/>
    <mergeCell ref="C81:E81"/>
    <mergeCell ref="B66:C66"/>
    <mergeCell ref="D66:E66"/>
    <mergeCell ref="B68:I69"/>
    <mergeCell ref="B93:I94"/>
    <mergeCell ref="B91:C91"/>
    <mergeCell ref="C70:E70"/>
    <mergeCell ref="B62:C62"/>
    <mergeCell ref="D62:E62"/>
    <mergeCell ref="B63:C63"/>
    <mergeCell ref="D63:E63"/>
    <mergeCell ref="B79:I80"/>
    <mergeCell ref="B64:C64"/>
    <mergeCell ref="D64:E64"/>
    <mergeCell ref="B65:C65"/>
    <mergeCell ref="D65:E65"/>
    <mergeCell ref="B100:C100"/>
    <mergeCell ref="B89:I90"/>
    <mergeCell ref="G109:H109"/>
    <mergeCell ref="D109:E109"/>
    <mergeCell ref="B102:I103"/>
    <mergeCell ref="B104:C104"/>
    <mergeCell ref="B106:I107"/>
    <mergeCell ref="D108:E108"/>
    <mergeCell ref="G108:H108"/>
    <mergeCell ref="B98:I99"/>
    <mergeCell ref="B95:I96"/>
  </mergeCells>
  <phoneticPr fontId="0" type="noConversion"/>
  <pageMargins left="0.75" right="0.75" top="1" bottom="1" header="0.5" footer="0.5"/>
  <pageSetup scale="87" orientation="portrait" r:id="rId1"/>
  <headerFooter alignWithMargins="0">
    <oddFooter>&amp;CCertification of Demand&amp;R&amp;P of &amp;N</oddFooter>
  </headerFooter>
  <rowBreaks count="2" manualBreakCount="2">
    <brk id="43" min="1" max="8" man="1"/>
    <brk id="87" min="1" max="8"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7"/>
  <dimension ref="A1:B55"/>
  <sheetViews>
    <sheetView workbookViewId="0">
      <selection activeCell="L5" sqref="L5"/>
    </sheetView>
  </sheetViews>
  <sheetFormatPr baseColWidth="10" defaultColWidth="9.1640625" defaultRowHeight="13"/>
  <cols>
    <col min="1" max="1" width="46.5" style="617" customWidth="1"/>
    <col min="2" max="2" width="87.1640625" style="1" customWidth="1"/>
    <col min="3" max="3" width="68.33203125" style="1" customWidth="1"/>
    <col min="4" max="16384" width="9.1640625" style="1"/>
  </cols>
  <sheetData>
    <row r="1" spans="1:2" ht="14" thickBot="1">
      <c r="B1" s="879">
        <f>+Name</f>
        <v>0</v>
      </c>
    </row>
    <row r="2" spans="1:2" ht="20" thickTop="1" thickBot="1">
      <c r="A2" s="1680" t="s">
        <v>277</v>
      </c>
      <c r="B2" s="1681"/>
    </row>
    <row r="3" spans="1:2" ht="14" thickTop="1"/>
    <row r="4" spans="1:2">
      <c r="A4" s="904" t="s">
        <v>278</v>
      </c>
    </row>
    <row r="6" spans="1:2">
      <c r="A6" s="1682" t="s">
        <v>279</v>
      </c>
      <c r="B6" s="1683"/>
    </row>
    <row r="7" spans="1:2">
      <c r="A7" s="905"/>
      <c r="B7" s="906"/>
    </row>
    <row r="8" spans="1:2">
      <c r="A8" s="905" t="s">
        <v>280</v>
      </c>
      <c r="B8" s="907"/>
    </row>
    <row r="9" spans="1:2">
      <c r="A9" s="905"/>
      <c r="B9" s="906"/>
    </row>
    <row r="10" spans="1:2" ht="14">
      <c r="A10" s="908" t="s">
        <v>281</v>
      </c>
      <c r="B10" s="907"/>
    </row>
    <row r="11" spans="1:2">
      <c r="A11" s="905"/>
      <c r="B11" s="906"/>
    </row>
    <row r="12" spans="1:2">
      <c r="A12" s="905" t="s">
        <v>282</v>
      </c>
      <c r="B12" s="907"/>
    </row>
    <row r="13" spans="1:2">
      <c r="A13" s="905"/>
      <c r="B13" s="906"/>
    </row>
    <row r="14" spans="1:2">
      <c r="A14" s="905" t="s">
        <v>283</v>
      </c>
      <c r="B14" s="907"/>
    </row>
    <row r="15" spans="1:2">
      <c r="A15" s="905"/>
      <c r="B15" s="906"/>
    </row>
    <row r="16" spans="1:2">
      <c r="A16" s="905" t="s">
        <v>284</v>
      </c>
      <c r="B16" s="907"/>
    </row>
    <row r="17" spans="1:2">
      <c r="A17" s="905"/>
      <c r="B17" s="907"/>
    </row>
    <row r="18" spans="1:2">
      <c r="A18" s="905"/>
      <c r="B18" s="906"/>
    </row>
    <row r="19" spans="1:2">
      <c r="A19" s="905" t="s">
        <v>285</v>
      </c>
      <c r="B19" s="907"/>
    </row>
    <row r="20" spans="1:2">
      <c r="A20" s="905"/>
      <c r="B20" s="906"/>
    </row>
    <row r="21" spans="1:2">
      <c r="A21" s="909" t="s">
        <v>834</v>
      </c>
      <c r="B21" s="907"/>
    </row>
    <row r="23" spans="1:2">
      <c r="A23" s="1682" t="s">
        <v>835</v>
      </c>
      <c r="B23" s="1683"/>
    </row>
    <row r="24" spans="1:2">
      <c r="A24" s="905"/>
      <c r="B24" s="906"/>
    </row>
    <row r="25" spans="1:2">
      <c r="A25" s="905" t="s">
        <v>280</v>
      </c>
      <c r="B25" s="907"/>
    </row>
    <row r="26" spans="1:2">
      <c r="A26" s="905"/>
      <c r="B26" s="906"/>
    </row>
    <row r="27" spans="1:2" ht="14">
      <c r="A27" s="908" t="s">
        <v>281</v>
      </c>
      <c r="B27" s="907"/>
    </row>
    <row r="28" spans="1:2">
      <c r="A28" s="905"/>
      <c r="B28" s="906"/>
    </row>
    <row r="29" spans="1:2">
      <c r="A29" s="905" t="s">
        <v>282</v>
      </c>
      <c r="B29" s="907"/>
    </row>
    <row r="30" spans="1:2">
      <c r="A30" s="905"/>
      <c r="B30" s="906"/>
    </row>
    <row r="31" spans="1:2">
      <c r="A31" s="905" t="s">
        <v>283</v>
      </c>
      <c r="B31" s="907"/>
    </row>
    <row r="32" spans="1:2">
      <c r="A32" s="905"/>
      <c r="B32" s="906"/>
    </row>
    <row r="33" spans="1:2">
      <c r="A33" s="905" t="s">
        <v>284</v>
      </c>
      <c r="B33" s="907"/>
    </row>
    <row r="34" spans="1:2">
      <c r="A34" s="905"/>
      <c r="B34" s="907"/>
    </row>
    <row r="35" spans="1:2">
      <c r="A35" s="905"/>
      <c r="B35" s="906"/>
    </row>
    <row r="36" spans="1:2">
      <c r="A36" s="905" t="s">
        <v>285</v>
      </c>
      <c r="B36" s="907"/>
    </row>
    <row r="37" spans="1:2">
      <c r="A37" s="905">
        <v>0</v>
      </c>
      <c r="B37" s="906"/>
    </row>
    <row r="38" spans="1:2">
      <c r="A38" s="909" t="s">
        <v>834</v>
      </c>
      <c r="B38" s="907"/>
    </row>
    <row r="40" spans="1:2">
      <c r="A40" s="1682" t="s">
        <v>836</v>
      </c>
      <c r="B40" s="1683"/>
    </row>
    <row r="41" spans="1:2">
      <c r="A41" s="905"/>
      <c r="B41" s="906"/>
    </row>
    <row r="42" spans="1:2">
      <c r="A42" s="905" t="s">
        <v>280</v>
      </c>
      <c r="B42" s="907"/>
    </row>
    <row r="43" spans="1:2">
      <c r="A43" s="905"/>
      <c r="B43" s="906"/>
    </row>
    <row r="44" spans="1:2" ht="14">
      <c r="A44" s="908" t="s">
        <v>281</v>
      </c>
      <c r="B44" s="907"/>
    </row>
    <row r="45" spans="1:2">
      <c r="A45" s="905"/>
      <c r="B45" s="906"/>
    </row>
    <row r="46" spans="1:2">
      <c r="A46" s="905" t="s">
        <v>282</v>
      </c>
      <c r="B46" s="907"/>
    </row>
    <row r="47" spans="1:2">
      <c r="A47" s="905"/>
      <c r="B47" s="906"/>
    </row>
    <row r="48" spans="1:2">
      <c r="A48" s="905" t="s">
        <v>283</v>
      </c>
      <c r="B48" s="907"/>
    </row>
    <row r="49" spans="1:2">
      <c r="A49" s="905"/>
      <c r="B49" s="906"/>
    </row>
    <row r="50" spans="1:2">
      <c r="A50" s="905" t="s">
        <v>284</v>
      </c>
      <c r="B50" s="907"/>
    </row>
    <row r="51" spans="1:2">
      <c r="A51" s="905"/>
      <c r="B51" s="907"/>
    </row>
    <row r="52" spans="1:2">
      <c r="A52" s="905"/>
      <c r="B52" s="906"/>
    </row>
    <row r="53" spans="1:2">
      <c r="A53" s="905" t="s">
        <v>285</v>
      </c>
      <c r="B53" s="907"/>
    </row>
    <row r="54" spans="1:2">
      <c r="A54" s="905"/>
      <c r="B54" s="906"/>
    </row>
    <row r="55" spans="1:2">
      <c r="A55" s="909" t="s">
        <v>834</v>
      </c>
      <c r="B55" s="907"/>
    </row>
  </sheetData>
  <mergeCells count="4">
    <mergeCell ref="A2:B2"/>
    <mergeCell ref="A6:B6"/>
    <mergeCell ref="A23:B23"/>
    <mergeCell ref="A40:B40"/>
  </mergeCells>
  <phoneticPr fontId="0" type="noConversion"/>
  <pageMargins left="0.75" right="0.75" top="1" bottom="1" header="0.5" footer="0.5"/>
  <pageSetup scale="63" orientation="portrait" r:id="rId1"/>
  <headerFooter alignWithMargins="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9"/>
  <dimension ref="A1:S1041"/>
  <sheetViews>
    <sheetView zoomScale="73" zoomScaleNormal="73" workbookViewId="0">
      <selection activeCell="L5" sqref="L5"/>
    </sheetView>
  </sheetViews>
  <sheetFormatPr baseColWidth="10" defaultColWidth="9.1640625" defaultRowHeight="16"/>
  <cols>
    <col min="1" max="1" width="35" style="953" customWidth="1"/>
    <col min="2" max="2" width="0.6640625" style="953" customWidth="1"/>
    <col min="3" max="3" width="26.5" style="953" customWidth="1"/>
    <col min="4" max="4" width="0.6640625" style="953" customWidth="1"/>
    <col min="5" max="5" width="20" style="1040" customWidth="1"/>
    <col min="6" max="6" width="0.83203125" style="1040" customWidth="1"/>
    <col min="7" max="7" width="19.5" style="1040" customWidth="1"/>
    <col min="8" max="8" width="0.6640625" style="1040" customWidth="1"/>
    <col min="9" max="9" width="11.5" style="1040" customWidth="1"/>
    <col min="10" max="10" width="1" style="1040" customWidth="1"/>
    <col min="11" max="11" width="12" style="953" customWidth="1"/>
    <col min="12" max="12" width="0.6640625" style="953" customWidth="1"/>
    <col min="13" max="13" width="13.33203125" style="953" customWidth="1"/>
    <col min="14" max="14" width="0.83203125" style="953" customWidth="1"/>
    <col min="15" max="16" width="3.83203125" style="1041" customWidth="1"/>
    <col min="17" max="17" width="53.5" style="1041" customWidth="1"/>
    <col min="18" max="18" width="17.6640625" style="953" bestFit="1" customWidth="1"/>
    <col min="19" max="19" width="30.33203125" style="953" bestFit="1" customWidth="1"/>
    <col min="20" max="20" width="21.83203125" style="953" bestFit="1" customWidth="1"/>
    <col min="21" max="16384" width="9.1640625" style="953"/>
  </cols>
  <sheetData>
    <row r="1" spans="1:17" ht="42" customHeight="1" thickBot="1">
      <c r="A1" s="1708" t="s">
        <v>1778</v>
      </c>
      <c r="B1" s="1709"/>
      <c r="C1" s="1710"/>
      <c r="D1" s="1710"/>
      <c r="E1" s="1710"/>
      <c r="F1" s="1710"/>
      <c r="G1" s="1710"/>
      <c r="H1" s="1710"/>
      <c r="I1" s="1710"/>
      <c r="J1" s="1710"/>
      <c r="K1" s="1710"/>
      <c r="L1" s="1710"/>
      <c r="M1" s="1710"/>
      <c r="N1" s="1710"/>
      <c r="O1" s="1710"/>
      <c r="P1" s="1710"/>
      <c r="Q1" s="1711"/>
    </row>
    <row r="2" spans="1:17">
      <c r="A2" s="954"/>
      <c r="B2" s="955"/>
      <c r="C2" s="955"/>
      <c r="D2" s="955"/>
      <c r="E2" s="956"/>
      <c r="F2" s="956"/>
      <c r="G2" s="956"/>
      <c r="H2" s="956"/>
      <c r="I2" s="956"/>
      <c r="J2" s="956"/>
      <c r="K2" s="956"/>
      <c r="L2" s="956"/>
      <c r="M2" s="956"/>
      <c r="N2" s="956"/>
      <c r="O2" s="956"/>
      <c r="P2" s="956"/>
      <c r="Q2" s="957"/>
    </row>
    <row r="3" spans="1:17">
      <c r="A3" s="958"/>
      <c r="B3" s="959"/>
      <c r="C3" s="1712"/>
      <c r="D3" s="1712"/>
      <c r="E3" s="1712"/>
      <c r="F3" s="1712"/>
      <c r="G3" s="1712"/>
      <c r="H3" s="1712"/>
      <c r="I3" s="1712"/>
      <c r="J3" s="1712"/>
      <c r="K3" s="1712"/>
      <c r="L3" s="1712"/>
      <c r="M3" s="1712"/>
      <c r="N3" s="1712"/>
      <c r="O3" s="1712"/>
      <c r="P3" s="1712"/>
      <c r="Q3" s="960"/>
    </row>
    <row r="4" spans="1:17">
      <c r="A4" s="961"/>
      <c r="B4" s="959"/>
      <c r="C4" s="1713"/>
      <c r="D4" s="1713"/>
      <c r="E4" s="1713"/>
      <c r="F4" s="1713"/>
      <c r="G4" s="1713"/>
      <c r="H4" s="1713"/>
      <c r="I4" s="1713"/>
      <c r="J4" s="1713"/>
      <c r="K4" s="1713"/>
      <c r="L4" s="1713"/>
      <c r="M4" s="1713"/>
      <c r="N4" s="1713"/>
      <c r="O4" s="1713"/>
      <c r="P4" s="1713"/>
      <c r="Q4" s="962"/>
    </row>
    <row r="5" spans="1:17" ht="17" thickBot="1">
      <c r="A5" s="963" t="s">
        <v>548</v>
      </c>
      <c r="B5" s="964"/>
      <c r="C5" s="1714" t="s">
        <v>482</v>
      </c>
      <c r="D5" s="1714"/>
      <c r="E5" s="1714"/>
      <c r="F5" s="1714"/>
      <c r="G5" s="1714"/>
      <c r="H5" s="1715"/>
      <c r="I5" s="1715"/>
      <c r="J5" s="1715"/>
      <c r="K5" s="1715"/>
      <c r="L5" s="1715"/>
      <c r="M5" s="1715"/>
      <c r="N5" s="1715"/>
      <c r="O5" s="1715"/>
      <c r="P5" s="1715"/>
      <c r="Q5" s="965"/>
    </row>
    <row r="6" spans="1:17" ht="39" customHeight="1">
      <c r="A6" s="1716" t="s">
        <v>608</v>
      </c>
      <c r="B6" s="1717"/>
      <c r="C6" s="1718"/>
      <c r="D6" s="1718"/>
      <c r="E6" s="1718"/>
      <c r="F6" s="1718"/>
      <c r="G6" s="1718"/>
      <c r="H6" s="1718"/>
      <c r="I6" s="1718"/>
      <c r="J6" s="1718"/>
      <c r="K6" s="1718"/>
      <c r="L6" s="1718"/>
      <c r="M6" s="1718"/>
      <c r="N6" s="1718"/>
      <c r="O6" s="1718"/>
      <c r="P6" s="1718"/>
      <c r="Q6" s="1719"/>
    </row>
    <row r="7" spans="1:17" ht="17" thickBot="1">
      <c r="A7" s="1720"/>
      <c r="B7" s="1721"/>
      <c r="C7" s="1721"/>
      <c r="D7" s="1721"/>
      <c r="E7" s="1721"/>
      <c r="F7" s="1721"/>
      <c r="G7" s="1721"/>
      <c r="H7" s="1721"/>
      <c r="I7" s="1721"/>
      <c r="J7" s="1721"/>
      <c r="K7" s="1721"/>
      <c r="L7" s="1721"/>
      <c r="M7" s="1721"/>
      <c r="N7" s="1721"/>
      <c r="O7" s="1721"/>
      <c r="P7" s="1721"/>
      <c r="Q7" s="1722"/>
    </row>
    <row r="8" spans="1:17" ht="11.25" customHeight="1" thickBot="1">
      <c r="A8" s="966"/>
      <c r="B8" s="967"/>
      <c r="C8" s="967"/>
      <c r="D8" s="967"/>
      <c r="E8" s="968"/>
      <c r="F8" s="968"/>
      <c r="G8" s="968"/>
      <c r="H8" s="968"/>
      <c r="I8" s="968"/>
      <c r="J8" s="968"/>
      <c r="K8" s="967"/>
      <c r="L8" s="967"/>
      <c r="M8" s="967"/>
      <c r="N8" s="967"/>
      <c r="O8" s="967"/>
      <c r="P8" s="967"/>
      <c r="Q8" s="969"/>
    </row>
    <row r="9" spans="1:17" s="975" customFormat="1" ht="45.75" customHeight="1" thickTop="1">
      <c r="A9" s="970" t="s">
        <v>1331</v>
      </c>
      <c r="B9" s="971"/>
      <c r="C9" s="972" t="s">
        <v>549</v>
      </c>
      <c r="D9" s="972"/>
      <c r="E9" s="973" t="s">
        <v>621</v>
      </c>
      <c r="F9" s="973"/>
      <c r="G9" s="973" t="s">
        <v>550</v>
      </c>
      <c r="H9" s="973"/>
      <c r="I9" s="973" t="s">
        <v>551</v>
      </c>
      <c r="J9" s="973"/>
      <c r="K9" s="974" t="s">
        <v>617</v>
      </c>
      <c r="L9" s="974"/>
      <c r="M9" s="974" t="s">
        <v>204</v>
      </c>
      <c r="N9" s="974"/>
      <c r="O9" s="1723" t="s">
        <v>1330</v>
      </c>
      <c r="P9" s="1724"/>
      <c r="Q9" s="1725"/>
    </row>
    <row r="10" spans="1:17" s="983" customFormat="1" ht="40.5" customHeight="1">
      <c r="A10" s="976"/>
      <c r="B10" s="977"/>
      <c r="C10" s="978"/>
      <c r="D10" s="978"/>
      <c r="E10" s="979"/>
      <c r="F10" s="979"/>
      <c r="G10" s="979"/>
      <c r="H10" s="979"/>
      <c r="I10" s="979"/>
      <c r="J10" s="979"/>
      <c r="K10" s="980"/>
      <c r="L10" s="980"/>
      <c r="M10" s="981"/>
      <c r="N10" s="982"/>
      <c r="O10" s="1705"/>
      <c r="P10" s="1706"/>
      <c r="Q10" s="1707"/>
    </row>
    <row r="11" spans="1:17" ht="40.5" customHeight="1">
      <c r="A11" s="984"/>
      <c r="B11" s="985"/>
      <c r="C11" s="986"/>
      <c r="D11" s="986"/>
      <c r="E11" s="979"/>
      <c r="F11" s="979"/>
      <c r="G11" s="979"/>
      <c r="H11" s="979"/>
      <c r="I11" s="979"/>
      <c r="J11" s="979"/>
      <c r="K11" s="980"/>
      <c r="L11" s="980"/>
      <c r="M11" s="981"/>
      <c r="N11" s="982"/>
      <c r="O11" s="1705"/>
      <c r="P11" s="1706"/>
      <c r="Q11" s="1707"/>
    </row>
    <row r="12" spans="1:17" ht="40.5" customHeight="1">
      <c r="A12" s="984"/>
      <c r="B12" s="985"/>
      <c r="C12" s="986"/>
      <c r="D12" s="986"/>
      <c r="E12" s="979"/>
      <c r="F12" s="979"/>
      <c r="G12" s="979"/>
      <c r="H12" s="979"/>
      <c r="I12" s="979"/>
      <c r="J12" s="979"/>
      <c r="K12" s="980"/>
      <c r="L12" s="980"/>
      <c r="M12" s="981"/>
      <c r="N12" s="982"/>
      <c r="O12" s="1705"/>
      <c r="P12" s="1706"/>
      <c r="Q12" s="1707"/>
    </row>
    <row r="13" spans="1:17" ht="40.5" customHeight="1">
      <c r="A13" s="984"/>
      <c r="B13" s="985"/>
      <c r="C13" s="986"/>
      <c r="D13" s="986"/>
      <c r="E13" s="979"/>
      <c r="F13" s="979"/>
      <c r="G13" s="979"/>
      <c r="H13" s="979"/>
      <c r="I13" s="979"/>
      <c r="J13" s="979"/>
      <c r="K13" s="980"/>
      <c r="L13" s="980"/>
      <c r="M13" s="981"/>
      <c r="N13" s="982"/>
      <c r="O13" s="1705"/>
      <c r="P13" s="1706"/>
      <c r="Q13" s="1707"/>
    </row>
    <row r="14" spans="1:17" ht="40.5" customHeight="1">
      <c r="A14" s="984"/>
      <c r="B14" s="985"/>
      <c r="C14" s="986"/>
      <c r="D14" s="986"/>
      <c r="E14" s="979"/>
      <c r="F14" s="979"/>
      <c r="G14" s="979"/>
      <c r="H14" s="979"/>
      <c r="I14" s="979"/>
      <c r="J14" s="979"/>
      <c r="K14" s="980"/>
      <c r="L14" s="980"/>
      <c r="M14" s="981"/>
      <c r="N14" s="982"/>
      <c r="O14" s="1705"/>
      <c r="P14" s="1706"/>
      <c r="Q14" s="1707"/>
    </row>
    <row r="15" spans="1:17" ht="40.5" customHeight="1">
      <c r="A15" s="984"/>
      <c r="B15" s="985"/>
      <c r="C15" s="986"/>
      <c r="D15" s="986"/>
      <c r="E15" s="979"/>
      <c r="F15" s="979"/>
      <c r="G15" s="979"/>
      <c r="H15" s="979"/>
      <c r="I15" s="979"/>
      <c r="J15" s="979"/>
      <c r="K15" s="980"/>
      <c r="L15" s="980"/>
      <c r="M15" s="981"/>
      <c r="N15" s="982"/>
      <c r="O15" s="1705"/>
      <c r="P15" s="1706"/>
      <c r="Q15" s="1707"/>
    </row>
    <row r="16" spans="1:17" ht="40.5" customHeight="1">
      <c r="A16" s="984"/>
      <c r="B16" s="985"/>
      <c r="C16" s="986"/>
      <c r="D16" s="986"/>
      <c r="E16" s="979"/>
      <c r="F16" s="979"/>
      <c r="G16" s="979"/>
      <c r="H16" s="979"/>
      <c r="I16" s="979"/>
      <c r="J16" s="979"/>
      <c r="K16" s="980"/>
      <c r="L16" s="980"/>
      <c r="M16" s="981"/>
      <c r="N16" s="982"/>
      <c r="O16" s="1705"/>
      <c r="P16" s="1706"/>
      <c r="Q16" s="1707"/>
    </row>
    <row r="17" spans="1:19" ht="40.5" customHeight="1">
      <c r="A17" s="984"/>
      <c r="B17" s="985"/>
      <c r="C17" s="986"/>
      <c r="D17" s="986"/>
      <c r="E17" s="979"/>
      <c r="F17" s="979"/>
      <c r="G17" s="979"/>
      <c r="H17" s="979"/>
      <c r="I17" s="979"/>
      <c r="J17" s="979"/>
      <c r="K17" s="980"/>
      <c r="L17" s="980"/>
      <c r="M17" s="981"/>
      <c r="N17" s="982"/>
      <c r="O17" s="1705"/>
      <c r="P17" s="1706"/>
      <c r="Q17" s="1707"/>
    </row>
    <row r="18" spans="1:19" ht="40.5" customHeight="1">
      <c r="A18" s="984"/>
      <c r="B18" s="985"/>
      <c r="C18" s="986"/>
      <c r="D18" s="986"/>
      <c r="E18" s="979"/>
      <c r="F18" s="979"/>
      <c r="G18" s="979"/>
      <c r="H18" s="979"/>
      <c r="I18" s="979"/>
      <c r="J18" s="979"/>
      <c r="K18" s="980"/>
      <c r="L18" s="980"/>
      <c r="M18" s="981"/>
      <c r="N18" s="982"/>
      <c r="O18" s="1705"/>
      <c r="P18" s="1706"/>
      <c r="Q18" s="1707"/>
      <c r="S18" s="987"/>
    </row>
    <row r="19" spans="1:19" ht="40.5" customHeight="1">
      <c r="A19" s="984"/>
      <c r="B19" s="985"/>
      <c r="C19" s="986"/>
      <c r="D19" s="986"/>
      <c r="E19" s="979"/>
      <c r="F19" s="979"/>
      <c r="G19" s="979"/>
      <c r="H19" s="979"/>
      <c r="I19" s="979"/>
      <c r="J19" s="979"/>
      <c r="K19" s="980"/>
      <c r="L19" s="980"/>
      <c r="M19" s="981"/>
      <c r="N19" s="982"/>
      <c r="O19" s="1705"/>
      <c r="P19" s="1706"/>
      <c r="Q19" s="1707"/>
    </row>
    <row r="20" spans="1:19" s="991" customFormat="1" ht="40.5" customHeight="1">
      <c r="A20" s="988"/>
      <c r="B20" s="989"/>
      <c r="C20" s="990"/>
      <c r="D20" s="990"/>
      <c r="E20" s="979"/>
      <c r="F20" s="979"/>
      <c r="G20" s="979"/>
      <c r="H20" s="979"/>
      <c r="I20" s="979"/>
      <c r="J20" s="979"/>
      <c r="K20" s="980"/>
      <c r="L20" s="980"/>
      <c r="M20" s="981"/>
      <c r="N20" s="982"/>
      <c r="O20" s="1705"/>
      <c r="P20" s="1706"/>
      <c r="Q20" s="1707"/>
    </row>
    <row r="21" spans="1:19" s="991" customFormat="1" ht="40.5" customHeight="1">
      <c r="A21" s="988"/>
      <c r="B21" s="989"/>
      <c r="C21" s="990"/>
      <c r="D21" s="990"/>
      <c r="E21" s="979"/>
      <c r="F21" s="979"/>
      <c r="G21" s="979"/>
      <c r="H21" s="979"/>
      <c r="I21" s="979"/>
      <c r="J21" s="979"/>
      <c r="K21" s="980"/>
      <c r="L21" s="980"/>
      <c r="M21" s="981"/>
      <c r="N21" s="982"/>
      <c r="O21" s="1705"/>
      <c r="P21" s="1706"/>
      <c r="Q21" s="1707"/>
    </row>
    <row r="22" spans="1:19" ht="40.5" customHeight="1">
      <c r="A22" s="984"/>
      <c r="B22" s="985"/>
      <c r="C22" s="986"/>
      <c r="D22" s="986"/>
      <c r="E22" s="979"/>
      <c r="F22" s="979"/>
      <c r="G22" s="979"/>
      <c r="H22" s="979"/>
      <c r="I22" s="979"/>
      <c r="J22" s="979"/>
      <c r="K22" s="980"/>
      <c r="L22" s="980"/>
      <c r="M22" s="981"/>
      <c r="N22" s="982"/>
      <c r="O22" s="1705"/>
      <c r="P22" s="1706"/>
      <c r="Q22" s="1707"/>
    </row>
    <row r="23" spans="1:19" s="991" customFormat="1" ht="40.5" customHeight="1" thickBot="1">
      <c r="A23" s="992"/>
      <c r="B23" s="993"/>
      <c r="C23" s="994"/>
      <c r="D23" s="994"/>
      <c r="E23" s="995"/>
      <c r="F23" s="995"/>
      <c r="G23" s="995"/>
      <c r="H23" s="995"/>
      <c r="I23" s="979"/>
      <c r="J23" s="995"/>
      <c r="K23" s="996"/>
      <c r="L23" s="996"/>
      <c r="M23" s="997"/>
      <c r="N23" s="998"/>
      <c r="O23" s="1685"/>
      <c r="P23" s="1686"/>
      <c r="Q23" s="1687"/>
    </row>
    <row r="24" spans="1:19" s="991" customFormat="1" ht="40.5" customHeight="1" thickBot="1">
      <c r="A24" s="999"/>
      <c r="B24" s="1000"/>
      <c r="C24" s="1000"/>
      <c r="D24" s="1000"/>
      <c r="E24" s="1000"/>
      <c r="F24" s="1000"/>
      <c r="G24" s="1001" t="s">
        <v>552</v>
      </c>
      <c r="H24" s="1000"/>
      <c r="I24" s="1002">
        <f>SUM(I10:I23)</f>
        <v>0</v>
      </c>
      <c r="J24" s="1000"/>
      <c r="K24" s="1000"/>
      <c r="L24" s="1000"/>
      <c r="M24" s="1000"/>
      <c r="N24" s="1003"/>
      <c r="O24" s="1003"/>
      <c r="P24" s="1004"/>
      <c r="Q24" s="1005"/>
    </row>
    <row r="25" spans="1:19">
      <c r="A25" s="966"/>
      <c r="B25" s="967"/>
      <c r="C25" s="967"/>
      <c r="D25" s="967"/>
      <c r="E25" s="1006"/>
      <c r="F25" s="1006"/>
      <c r="G25" s="1006"/>
      <c r="H25" s="1006"/>
      <c r="I25" s="1006"/>
      <c r="J25" s="1006"/>
      <c r="K25" s="967"/>
      <c r="L25" s="967"/>
      <c r="M25" s="967"/>
      <c r="N25" s="967"/>
      <c r="O25" s="1007"/>
      <c r="P25" s="1007"/>
      <c r="Q25" s="1008"/>
    </row>
    <row r="26" spans="1:19">
      <c r="A26" s="1688" t="s">
        <v>2050</v>
      </c>
      <c r="B26" s="1689"/>
      <c r="C26" s="1690"/>
      <c r="D26" s="1690"/>
      <c r="E26" s="1690"/>
      <c r="F26" s="1690"/>
      <c r="G26" s="1690"/>
      <c r="H26" s="1690"/>
      <c r="I26" s="1690"/>
      <c r="J26" s="1690"/>
      <c r="K26" s="1690"/>
      <c r="L26" s="1690"/>
      <c r="M26" s="1690"/>
      <c r="N26" s="1690"/>
      <c r="O26" s="1690"/>
      <c r="P26" s="1690"/>
      <c r="Q26" s="1691"/>
    </row>
    <row r="27" spans="1:19" ht="5.25" customHeight="1">
      <c r="A27" s="1009"/>
      <c r="B27" s="1010"/>
      <c r="C27" s="1011"/>
      <c r="D27" s="1011"/>
      <c r="E27" s="1011"/>
      <c r="F27" s="1011"/>
      <c r="G27" s="1011"/>
      <c r="H27" s="1011"/>
      <c r="I27" s="1011"/>
      <c r="J27" s="1011"/>
      <c r="K27" s="1011"/>
      <c r="L27" s="1011"/>
      <c r="M27" s="1011"/>
      <c r="N27" s="1011"/>
      <c r="O27" s="1011"/>
      <c r="P27" s="1011"/>
      <c r="Q27" s="1012"/>
    </row>
    <row r="28" spans="1:19">
      <c r="A28" s="1692" t="s">
        <v>553</v>
      </c>
      <c r="B28" s="1693"/>
      <c r="C28" s="1694"/>
      <c r="D28" s="1694"/>
      <c r="E28" s="968"/>
      <c r="F28" s="968"/>
      <c r="G28" s="968"/>
      <c r="H28" s="968"/>
      <c r="I28" s="968"/>
      <c r="J28" s="968"/>
      <c r="K28" s="967"/>
      <c r="L28" s="967"/>
      <c r="M28" s="967"/>
      <c r="N28" s="967"/>
      <c r="O28" s="1007"/>
      <c r="P28" s="1007"/>
      <c r="Q28" s="1008"/>
    </row>
    <row r="29" spans="1:19">
      <c r="A29" s="966"/>
      <c r="B29" s="967"/>
      <c r="C29" s="967"/>
      <c r="D29" s="967"/>
      <c r="E29" s="968"/>
      <c r="F29" s="968"/>
      <c r="G29" s="968"/>
      <c r="H29" s="968"/>
      <c r="I29" s="968"/>
      <c r="J29" s="968"/>
      <c r="K29" s="967"/>
      <c r="L29" s="967"/>
      <c r="M29" s="967"/>
      <c r="N29" s="967"/>
      <c r="O29" s="1007"/>
      <c r="P29" s="1007"/>
      <c r="Q29" s="1008"/>
    </row>
    <row r="30" spans="1:19">
      <c r="A30" s="1688"/>
      <c r="B30" s="1010"/>
      <c r="C30" s="967"/>
      <c r="D30" s="967"/>
      <c r="E30" s="968"/>
      <c r="F30" s="968"/>
      <c r="G30" s="1014"/>
      <c r="H30" s="968"/>
      <c r="I30" s="968"/>
      <c r="J30" s="968"/>
      <c r="K30" s="967"/>
      <c r="L30" s="967"/>
      <c r="M30" s="967"/>
      <c r="N30" s="967"/>
      <c r="O30" s="1007"/>
      <c r="P30" s="1007"/>
      <c r="Q30" s="1008"/>
    </row>
    <row r="31" spans="1:19">
      <c r="A31" s="1688"/>
      <c r="B31" s="1010"/>
      <c r="C31" s="967"/>
      <c r="D31" s="967"/>
      <c r="E31" s="1015"/>
      <c r="F31" s="1015"/>
      <c r="G31" s="1016"/>
      <c r="H31" s="968"/>
      <c r="I31" s="968"/>
      <c r="J31" s="968"/>
      <c r="K31" s="967"/>
      <c r="L31" s="967"/>
      <c r="M31" s="1704"/>
      <c r="N31" s="1697"/>
      <c r="O31" s="1697"/>
      <c r="P31" s="1697"/>
      <c r="Q31" s="1008"/>
    </row>
    <row r="32" spans="1:19" s="1023" customFormat="1">
      <c r="A32" s="1017" t="s">
        <v>1331</v>
      </c>
      <c r="B32" s="1018"/>
      <c r="C32" s="1019" t="s">
        <v>554</v>
      </c>
      <c r="D32" s="1018"/>
      <c r="E32" s="1020"/>
      <c r="F32" s="1018"/>
      <c r="G32" s="1020"/>
      <c r="H32" s="1695" t="s">
        <v>555</v>
      </c>
      <c r="I32" s="1695"/>
      <c r="J32" s="1695"/>
      <c r="K32" s="1695"/>
      <c r="L32" s="1021"/>
      <c r="M32" s="1696" t="s">
        <v>556</v>
      </c>
      <c r="N32" s="1696"/>
      <c r="O32" s="1696"/>
      <c r="P32" s="1696"/>
      <c r="Q32" s="1022"/>
    </row>
    <row r="33" spans="1:17" ht="17" thickBot="1">
      <c r="A33" s="1024"/>
      <c r="B33" s="964"/>
      <c r="C33" s="964"/>
      <c r="D33" s="964"/>
      <c r="E33" s="1025"/>
      <c r="F33" s="1025"/>
      <c r="G33" s="1025"/>
      <c r="H33" s="1025"/>
      <c r="I33" s="1025"/>
      <c r="J33" s="1025"/>
      <c r="K33" s="964"/>
      <c r="L33" s="964"/>
      <c r="M33" s="964"/>
      <c r="N33" s="964"/>
      <c r="O33" s="1026"/>
      <c r="P33" s="1026"/>
      <c r="Q33" s="1027"/>
    </row>
    <row r="34" spans="1:17">
      <c r="A34" s="966"/>
      <c r="B34" s="967"/>
      <c r="C34" s="967"/>
      <c r="D34" s="967"/>
      <c r="E34" s="968"/>
      <c r="F34" s="968"/>
      <c r="G34" s="968"/>
      <c r="H34" s="968"/>
      <c r="I34" s="968"/>
      <c r="J34" s="968"/>
      <c r="K34" s="967"/>
      <c r="L34" s="967"/>
      <c r="M34" s="967"/>
      <c r="N34" s="967"/>
      <c r="O34" s="1007"/>
      <c r="P34" s="1007"/>
      <c r="Q34" s="1008"/>
    </row>
    <row r="35" spans="1:17">
      <c r="A35" s="1701" t="s">
        <v>2051</v>
      </c>
      <c r="B35" s="1702"/>
      <c r="C35" s="1702"/>
      <c r="D35" s="1702"/>
      <c r="E35" s="1702"/>
      <c r="F35" s="1702"/>
      <c r="G35" s="1702"/>
      <c r="H35" s="1702"/>
      <c r="I35" s="1702"/>
      <c r="J35" s="1702"/>
      <c r="K35" s="1702"/>
      <c r="L35" s="1702"/>
      <c r="M35" s="1702"/>
      <c r="N35" s="1702"/>
      <c r="O35" s="1702"/>
      <c r="P35" s="1702"/>
      <c r="Q35" s="1703"/>
    </row>
    <row r="36" spans="1:17">
      <c r="A36" s="1701"/>
      <c r="B36" s="1702"/>
      <c r="C36" s="1702"/>
      <c r="D36" s="1702"/>
      <c r="E36" s="1702"/>
      <c r="F36" s="1702"/>
      <c r="G36" s="1702"/>
      <c r="H36" s="1702"/>
      <c r="I36" s="1702"/>
      <c r="J36" s="1702"/>
      <c r="K36" s="1702"/>
      <c r="L36" s="1702"/>
      <c r="M36" s="1702"/>
      <c r="N36" s="1702"/>
      <c r="O36" s="1702"/>
      <c r="P36" s="1702"/>
      <c r="Q36" s="1703"/>
    </row>
    <row r="37" spans="1:17">
      <c r="A37" s="1028"/>
      <c r="B37" s="1013"/>
      <c r="C37" s="1013"/>
      <c r="D37" s="1013"/>
      <c r="E37" s="1013"/>
      <c r="F37" s="1013"/>
      <c r="G37" s="1013"/>
      <c r="H37" s="1013"/>
      <c r="I37" s="1013"/>
      <c r="J37" s="1013"/>
      <c r="K37" s="1013"/>
      <c r="L37" s="1013"/>
      <c r="M37" s="1013"/>
      <c r="N37" s="1013"/>
      <c r="O37" s="1013"/>
      <c r="P37" s="1013"/>
      <c r="Q37" s="1029"/>
    </row>
    <row r="38" spans="1:17">
      <c r="A38" s="1698"/>
      <c r="B38" s="1697"/>
      <c r="C38" s="1697"/>
      <c r="D38" s="1697"/>
      <c r="E38" s="1697"/>
      <c r="F38" s="1697"/>
      <c r="G38" s="1697"/>
      <c r="H38" s="1013"/>
      <c r="I38" s="1697"/>
      <c r="J38" s="1697"/>
      <c r="K38" s="1697"/>
      <c r="L38" s="1697"/>
      <c r="M38" s="1697"/>
      <c r="N38" s="1013"/>
      <c r="O38" s="1013"/>
      <c r="P38" s="1013"/>
      <c r="Q38" s="1029"/>
    </row>
    <row r="39" spans="1:17">
      <c r="A39" s="1028"/>
      <c r="B39" s="1013"/>
      <c r="C39" s="1030" t="s">
        <v>1332</v>
      </c>
      <c r="D39" s="1013"/>
      <c r="E39" s="1013"/>
      <c r="F39" s="1013"/>
      <c r="G39" s="1013"/>
      <c r="H39" s="1013"/>
      <c r="I39" s="1031"/>
      <c r="J39" s="1013"/>
      <c r="K39" s="1032" t="s">
        <v>211</v>
      </c>
      <c r="L39" s="1013"/>
      <c r="M39" s="1013"/>
      <c r="N39" s="1013"/>
      <c r="O39" s="1013"/>
      <c r="P39" s="1013"/>
      <c r="Q39" s="1029"/>
    </row>
    <row r="40" spans="1:17">
      <c r="A40" s="1028"/>
      <c r="B40" s="1013"/>
      <c r="C40" s="1013"/>
      <c r="D40" s="1013"/>
      <c r="E40" s="1013"/>
      <c r="F40" s="1013"/>
      <c r="G40" s="1013"/>
      <c r="H40" s="1013"/>
      <c r="I40" s="1013"/>
      <c r="J40" s="1013"/>
      <c r="K40" s="1013"/>
      <c r="L40" s="1013"/>
      <c r="M40" s="1013"/>
      <c r="N40" s="1013"/>
      <c r="O40" s="1013"/>
      <c r="P40" s="1013"/>
      <c r="Q40" s="1029"/>
    </row>
    <row r="41" spans="1:17">
      <c r="A41" s="1698"/>
      <c r="B41" s="1697"/>
      <c r="C41" s="1697"/>
      <c r="D41" s="1697"/>
      <c r="E41" s="1697"/>
      <c r="F41" s="1697"/>
      <c r="G41" s="1697"/>
      <c r="H41" s="1013"/>
      <c r="I41" s="1013"/>
      <c r="J41" s="1013"/>
      <c r="K41" s="1013"/>
      <c r="L41" s="1013"/>
      <c r="M41" s="1013"/>
      <c r="N41" s="1013"/>
      <c r="O41" s="1013"/>
      <c r="P41" s="1013"/>
      <c r="Q41" s="1029"/>
    </row>
    <row r="42" spans="1:17">
      <c r="A42" s="1028"/>
      <c r="B42" s="1013"/>
      <c r="C42" s="1030" t="s">
        <v>1333</v>
      </c>
      <c r="D42" s="1013"/>
      <c r="E42" s="1013"/>
      <c r="F42" s="1013"/>
      <c r="G42" s="1013"/>
      <c r="H42" s="1013"/>
      <c r="I42" s="1013"/>
      <c r="J42" s="1013"/>
      <c r="K42" s="1013"/>
      <c r="L42" s="1013"/>
      <c r="M42" s="1013"/>
      <c r="N42" s="1013"/>
      <c r="O42" s="1013"/>
      <c r="P42" s="1013"/>
      <c r="Q42" s="1029"/>
    </row>
    <row r="43" spans="1:17">
      <c r="A43" s="1028"/>
      <c r="B43" s="1013"/>
      <c r="C43" s="1013"/>
      <c r="D43" s="1013"/>
      <c r="E43" s="1013"/>
      <c r="F43" s="1013"/>
      <c r="G43" s="1013"/>
      <c r="H43" s="1013"/>
      <c r="I43" s="1013"/>
      <c r="J43" s="1013"/>
      <c r="K43" s="1013"/>
      <c r="L43" s="1013"/>
      <c r="M43" s="1013"/>
      <c r="N43" s="1013"/>
      <c r="O43" s="1013"/>
      <c r="P43" s="1013"/>
      <c r="Q43" s="1029"/>
    </row>
    <row r="44" spans="1:17" ht="17" thickBot="1">
      <c r="A44" s="1024"/>
      <c r="B44" s="964"/>
      <c r="C44" s="1699"/>
      <c r="D44" s="1699"/>
      <c r="E44" s="1700"/>
      <c r="F44" s="1700"/>
      <c r="G44" s="1700"/>
      <c r="H44" s="1025"/>
      <c r="I44" s="1025"/>
      <c r="J44" s="1025"/>
      <c r="K44" s="964"/>
      <c r="L44" s="964"/>
      <c r="M44" s="964"/>
      <c r="N44" s="964"/>
      <c r="O44" s="1026"/>
      <c r="P44" s="1026"/>
      <c r="Q44" s="1027"/>
    </row>
    <row r="45" spans="1:17" hidden="1">
      <c r="A45" s="966"/>
      <c r="B45" s="967"/>
      <c r="C45" s="967"/>
      <c r="D45" s="967"/>
      <c r="E45" s="1033" t="s">
        <v>557</v>
      </c>
      <c r="F45" s="1033"/>
      <c r="G45" s="1034" t="s">
        <v>1165</v>
      </c>
      <c r="H45" s="1035"/>
      <c r="I45" s="968"/>
      <c r="J45" s="968"/>
      <c r="K45" s="967" t="s">
        <v>482</v>
      </c>
      <c r="L45" s="967"/>
      <c r="M45" s="967"/>
      <c r="N45" s="967"/>
      <c r="O45" s="1007"/>
      <c r="P45" s="1007"/>
      <c r="Q45" s="1008"/>
    </row>
    <row r="46" spans="1:17" hidden="1">
      <c r="A46" s="966"/>
      <c r="B46" s="967"/>
      <c r="C46" s="967">
        <v>1</v>
      </c>
      <c r="D46" s="967"/>
      <c r="E46" s="1034" t="s">
        <v>558</v>
      </c>
      <c r="F46" s="1034"/>
      <c r="G46" s="1036" t="s">
        <v>417</v>
      </c>
      <c r="H46" s="1035"/>
      <c r="I46" s="968"/>
      <c r="J46" s="968"/>
      <c r="K46" s="967" t="s">
        <v>1666</v>
      </c>
      <c r="L46" s="967"/>
      <c r="M46" s="967"/>
      <c r="N46" s="967"/>
      <c r="O46" s="1007"/>
      <c r="P46" s="1007"/>
      <c r="Q46" s="1008"/>
    </row>
    <row r="47" spans="1:17" hidden="1">
      <c r="A47" s="966"/>
      <c r="B47" s="967"/>
      <c r="C47" s="967">
        <v>2</v>
      </c>
      <c r="D47" s="967"/>
      <c r="E47" s="1034" t="s">
        <v>559</v>
      </c>
      <c r="F47" s="1034"/>
      <c r="G47" s="1036" t="s">
        <v>418</v>
      </c>
      <c r="H47" s="1035"/>
      <c r="I47" s="968"/>
      <c r="J47" s="968"/>
      <c r="K47" s="967" t="s">
        <v>560</v>
      </c>
      <c r="L47" s="967"/>
      <c r="M47" s="967"/>
      <c r="N47" s="967"/>
      <c r="O47" s="1007"/>
      <c r="P47" s="1007"/>
      <c r="Q47" s="1008"/>
    </row>
    <row r="48" spans="1:17" hidden="1">
      <c r="A48" s="966"/>
      <c r="B48" s="967"/>
      <c r="C48" s="967">
        <v>3</v>
      </c>
      <c r="D48" s="967"/>
      <c r="E48" s="1034" t="s">
        <v>561</v>
      </c>
      <c r="F48" s="1034"/>
      <c r="G48" s="1036" t="s">
        <v>419</v>
      </c>
      <c r="H48" s="1035"/>
      <c r="I48" s="968"/>
      <c r="J48" s="968"/>
      <c r="K48" s="967"/>
      <c r="L48" s="967"/>
      <c r="M48" s="967"/>
      <c r="N48" s="967"/>
      <c r="O48" s="1007"/>
      <c r="P48" s="1007"/>
      <c r="Q48" s="1008"/>
    </row>
    <row r="49" spans="1:17" hidden="1">
      <c r="A49" s="966"/>
      <c r="B49" s="967"/>
      <c r="C49" s="967">
        <v>4</v>
      </c>
      <c r="D49" s="967"/>
      <c r="E49" s="1034" t="s">
        <v>562</v>
      </c>
      <c r="F49" s="1034"/>
      <c r="G49" s="1036" t="s">
        <v>420</v>
      </c>
      <c r="H49" s="1035"/>
      <c r="I49" s="968"/>
      <c r="J49" s="968"/>
      <c r="K49" s="967"/>
      <c r="L49" s="967"/>
      <c r="M49" s="967"/>
      <c r="N49" s="967"/>
      <c r="O49" s="1007"/>
      <c r="P49" s="1007"/>
      <c r="Q49" s="1008"/>
    </row>
    <row r="50" spans="1:17" hidden="1">
      <c r="A50" s="966"/>
      <c r="B50" s="967"/>
      <c r="C50" s="967">
        <v>5</v>
      </c>
      <c r="D50" s="967"/>
      <c r="E50" s="1034" t="s">
        <v>563</v>
      </c>
      <c r="F50" s="1034"/>
      <c r="G50" s="1036" t="s">
        <v>421</v>
      </c>
      <c r="H50" s="1035"/>
      <c r="I50" s="968"/>
      <c r="J50" s="968"/>
      <c r="K50" s="967"/>
      <c r="L50" s="967"/>
      <c r="M50" s="967"/>
      <c r="N50" s="967"/>
      <c r="O50" s="1007"/>
      <c r="P50" s="1007"/>
      <c r="Q50" s="1008"/>
    </row>
    <row r="51" spans="1:17" hidden="1">
      <c r="A51" s="966"/>
      <c r="B51" s="967"/>
      <c r="C51" s="967">
        <v>6</v>
      </c>
      <c r="D51" s="967"/>
      <c r="E51" s="1034" t="s">
        <v>564</v>
      </c>
      <c r="F51" s="1034"/>
      <c r="G51" s="1036" t="s">
        <v>422</v>
      </c>
      <c r="H51" s="1035"/>
      <c r="I51" s="968"/>
      <c r="J51" s="968"/>
      <c r="K51" s="967"/>
      <c r="L51" s="967"/>
      <c r="M51" s="967"/>
      <c r="N51" s="967"/>
      <c r="O51" s="1007"/>
      <c r="P51" s="1007"/>
      <c r="Q51" s="1008"/>
    </row>
    <row r="52" spans="1:17" hidden="1">
      <c r="A52" s="966"/>
      <c r="B52" s="967"/>
      <c r="C52" s="967">
        <v>7</v>
      </c>
      <c r="D52" s="967"/>
      <c r="E52" s="1034" t="s">
        <v>565</v>
      </c>
      <c r="F52" s="1034"/>
      <c r="G52" s="1036" t="s">
        <v>423</v>
      </c>
      <c r="H52" s="1035"/>
      <c r="I52" s="968"/>
      <c r="J52" s="968"/>
      <c r="K52" s="967"/>
      <c r="L52" s="967"/>
      <c r="M52" s="967"/>
      <c r="N52" s="967"/>
      <c r="O52" s="1007"/>
      <c r="P52" s="1007"/>
      <c r="Q52" s="1008"/>
    </row>
    <row r="53" spans="1:17" hidden="1">
      <c r="A53" s="966"/>
      <c r="B53" s="967"/>
      <c r="C53" s="967">
        <v>8</v>
      </c>
      <c r="D53" s="967"/>
      <c r="E53" s="1034" t="s">
        <v>566</v>
      </c>
      <c r="F53" s="1034"/>
      <c r="G53" s="1036" t="s">
        <v>424</v>
      </c>
      <c r="H53" s="1035"/>
      <c r="I53" s="968"/>
      <c r="J53" s="968"/>
      <c r="K53" s="967"/>
      <c r="L53" s="967"/>
      <c r="M53" s="967"/>
      <c r="N53" s="967"/>
      <c r="O53" s="1007"/>
      <c r="P53" s="1007"/>
      <c r="Q53" s="1008"/>
    </row>
    <row r="54" spans="1:17" hidden="1">
      <c r="A54" s="966"/>
      <c r="B54" s="967"/>
      <c r="C54" s="967">
        <v>9</v>
      </c>
      <c r="D54" s="967"/>
      <c r="E54" s="1034" t="s">
        <v>567</v>
      </c>
      <c r="F54" s="1034"/>
      <c r="G54" s="1037" t="s">
        <v>425</v>
      </c>
      <c r="H54" s="1035"/>
      <c r="I54" s="968"/>
      <c r="J54" s="968"/>
      <c r="K54" s="967"/>
      <c r="L54" s="967"/>
      <c r="M54" s="967"/>
      <c r="N54" s="967"/>
      <c r="O54" s="1007"/>
      <c r="P54" s="1007"/>
      <c r="Q54" s="1008"/>
    </row>
    <row r="55" spans="1:17" ht="30" hidden="1" customHeight="1">
      <c r="A55" s="966"/>
      <c r="B55" s="967"/>
      <c r="C55" s="967">
        <v>10</v>
      </c>
      <c r="D55" s="967"/>
      <c r="E55" s="1034" t="s">
        <v>568</v>
      </c>
      <c r="F55" s="1034"/>
      <c r="G55" s="1036" t="s">
        <v>426</v>
      </c>
      <c r="H55" s="1035"/>
      <c r="I55" s="968"/>
      <c r="J55" s="968"/>
      <c r="K55" s="967"/>
      <c r="L55" s="967"/>
      <c r="M55" s="967"/>
      <c r="N55" s="967"/>
      <c r="O55" s="1007"/>
      <c r="P55" s="1007"/>
      <c r="Q55" s="1008"/>
    </row>
    <row r="56" spans="1:17" hidden="1">
      <c r="A56" s="966"/>
      <c r="B56" s="967"/>
      <c r="C56" s="967">
        <v>11</v>
      </c>
      <c r="D56" s="967"/>
      <c r="E56" s="1034" t="s">
        <v>569</v>
      </c>
      <c r="F56" s="1034"/>
      <c r="G56" s="1036" t="s">
        <v>417</v>
      </c>
      <c r="H56" s="1035"/>
      <c r="I56" s="968"/>
      <c r="J56" s="968"/>
      <c r="K56" s="967"/>
      <c r="L56" s="967"/>
      <c r="M56" s="967"/>
      <c r="N56" s="967"/>
      <c r="O56" s="1007"/>
      <c r="P56" s="1007"/>
      <c r="Q56" s="1008"/>
    </row>
    <row r="57" spans="1:17" hidden="1">
      <c r="A57" s="966"/>
      <c r="B57" s="967"/>
      <c r="C57" s="967">
        <v>12</v>
      </c>
      <c r="D57" s="967"/>
      <c r="E57" s="1034" t="s">
        <v>570</v>
      </c>
      <c r="F57" s="1034"/>
      <c r="G57" s="1036" t="s">
        <v>427</v>
      </c>
      <c r="H57" s="1035"/>
      <c r="I57" s="968"/>
      <c r="J57" s="968"/>
      <c r="K57" s="967"/>
      <c r="L57" s="967"/>
      <c r="M57" s="967"/>
      <c r="N57" s="967"/>
      <c r="O57" s="1007"/>
      <c r="P57" s="1007"/>
      <c r="Q57" s="1008"/>
    </row>
    <row r="58" spans="1:17" hidden="1">
      <c r="A58" s="966"/>
      <c r="B58" s="967"/>
      <c r="C58" s="967">
        <v>13</v>
      </c>
      <c r="D58" s="967"/>
      <c r="E58" s="1034" t="s">
        <v>571</v>
      </c>
      <c r="F58" s="1034"/>
      <c r="G58" s="1036" t="s">
        <v>428</v>
      </c>
      <c r="H58" s="1035"/>
      <c r="I58" s="968"/>
      <c r="J58" s="968"/>
      <c r="K58" s="967"/>
      <c r="L58" s="967"/>
      <c r="M58" s="967"/>
      <c r="N58" s="967"/>
      <c r="O58" s="1007"/>
      <c r="P58" s="1007"/>
      <c r="Q58" s="1008"/>
    </row>
    <row r="59" spans="1:17" hidden="1">
      <c r="A59" s="966"/>
      <c r="B59" s="967"/>
      <c r="C59" s="967">
        <v>14</v>
      </c>
      <c r="D59" s="967"/>
      <c r="E59" s="1034" t="s">
        <v>572</v>
      </c>
      <c r="F59" s="1034"/>
      <c r="G59" s="1034"/>
      <c r="H59" s="1035"/>
      <c r="I59" s="968"/>
      <c r="J59" s="968"/>
      <c r="K59" s="967"/>
      <c r="L59" s="967"/>
      <c r="M59" s="967"/>
      <c r="N59" s="967"/>
      <c r="O59" s="1007"/>
      <c r="P59" s="1007"/>
      <c r="Q59" s="1008"/>
    </row>
    <row r="60" spans="1:17" hidden="1">
      <c r="A60" s="966"/>
      <c r="B60" s="967"/>
      <c r="C60" s="967">
        <v>15</v>
      </c>
      <c r="D60" s="967"/>
      <c r="E60" s="1034" t="s">
        <v>573</v>
      </c>
      <c r="F60" s="1034"/>
      <c r="G60" s="1034"/>
      <c r="H60" s="1035"/>
      <c r="I60" s="968"/>
      <c r="J60" s="968"/>
      <c r="K60" s="967"/>
      <c r="L60" s="967"/>
      <c r="M60" s="967"/>
      <c r="N60" s="967"/>
      <c r="O60" s="1007"/>
      <c r="P60" s="1007"/>
      <c r="Q60" s="1008"/>
    </row>
    <row r="61" spans="1:17" hidden="1">
      <c r="A61" s="966"/>
      <c r="B61" s="967"/>
      <c r="C61" s="967">
        <v>16</v>
      </c>
      <c r="D61" s="967"/>
      <c r="E61" s="1034" t="s">
        <v>574</v>
      </c>
      <c r="F61" s="1034"/>
      <c r="G61" s="1034"/>
      <c r="H61" s="1035"/>
      <c r="I61" s="968"/>
      <c r="J61" s="968"/>
      <c r="K61" s="967"/>
      <c r="L61" s="967"/>
      <c r="M61" s="967"/>
      <c r="N61" s="967"/>
      <c r="O61" s="1007"/>
      <c r="P61" s="1007"/>
      <c r="Q61" s="1008"/>
    </row>
    <row r="62" spans="1:17" hidden="1">
      <c r="A62" s="966"/>
      <c r="B62" s="967"/>
      <c r="C62" s="967">
        <v>17</v>
      </c>
      <c r="D62" s="967"/>
      <c r="E62" s="1034" t="s">
        <v>575</v>
      </c>
      <c r="F62" s="1034"/>
      <c r="G62" s="1034"/>
      <c r="H62" s="1035"/>
      <c r="I62" s="968"/>
      <c r="J62" s="968"/>
      <c r="K62" s="967"/>
      <c r="L62" s="967"/>
      <c r="M62" s="967"/>
      <c r="N62" s="967"/>
      <c r="O62" s="1007"/>
      <c r="P62" s="1007"/>
      <c r="Q62" s="1008"/>
    </row>
    <row r="63" spans="1:17" hidden="1">
      <c r="A63" s="966"/>
      <c r="B63" s="967"/>
      <c r="C63" s="967">
        <v>18</v>
      </c>
      <c r="D63" s="967"/>
      <c r="E63" s="1034" t="s">
        <v>576</v>
      </c>
      <c r="F63" s="1034"/>
      <c r="G63" s="1034"/>
      <c r="H63" s="1035"/>
      <c r="I63" s="968"/>
      <c r="J63" s="968"/>
      <c r="K63" s="967"/>
      <c r="L63" s="967"/>
      <c r="M63" s="967"/>
      <c r="N63" s="967"/>
      <c r="O63" s="1007"/>
      <c r="P63" s="1007"/>
      <c r="Q63" s="1008"/>
    </row>
    <row r="64" spans="1:17" hidden="1">
      <c r="A64" s="966"/>
      <c r="B64" s="967"/>
      <c r="C64" s="967">
        <v>19</v>
      </c>
      <c r="D64" s="967"/>
      <c r="E64" s="967" t="s">
        <v>577</v>
      </c>
      <c r="F64" s="967"/>
      <c r="G64" s="1034"/>
      <c r="H64" s="1035"/>
      <c r="I64" s="968"/>
      <c r="J64" s="968"/>
      <c r="K64" s="967"/>
      <c r="L64" s="967"/>
      <c r="M64" s="967"/>
      <c r="N64" s="967"/>
      <c r="O64" s="1007"/>
      <c r="P64" s="1007"/>
      <c r="Q64" s="1008"/>
    </row>
    <row r="65" spans="1:17" hidden="1">
      <c r="A65" s="966"/>
      <c r="B65" s="967"/>
      <c r="C65" s="967">
        <v>20</v>
      </c>
      <c r="D65" s="967"/>
      <c r="E65" s="1034" t="s">
        <v>578</v>
      </c>
      <c r="F65" s="1034"/>
      <c r="G65" s="1034"/>
      <c r="H65" s="1035"/>
      <c r="I65" s="968"/>
      <c r="J65" s="968"/>
      <c r="K65" s="967"/>
      <c r="L65" s="967"/>
      <c r="M65" s="967"/>
      <c r="N65" s="967"/>
      <c r="O65" s="1007"/>
      <c r="P65" s="1007"/>
      <c r="Q65" s="1008"/>
    </row>
    <row r="66" spans="1:17" hidden="1">
      <c r="A66" s="966"/>
      <c r="B66" s="967"/>
      <c r="C66" s="967">
        <v>21</v>
      </c>
      <c r="D66" s="967"/>
      <c r="E66" s="1034" t="s">
        <v>579</v>
      </c>
      <c r="F66" s="1034"/>
      <c r="G66" s="1034"/>
      <c r="H66" s="1035"/>
      <c r="I66" s="968"/>
      <c r="J66" s="968"/>
      <c r="K66" s="967"/>
      <c r="L66" s="967"/>
      <c r="M66" s="967"/>
      <c r="N66" s="967"/>
      <c r="O66" s="1007"/>
      <c r="P66" s="1007"/>
      <c r="Q66" s="1008"/>
    </row>
    <row r="67" spans="1:17" hidden="1">
      <c r="A67" s="966"/>
      <c r="B67" s="967"/>
      <c r="C67" s="967">
        <v>22</v>
      </c>
      <c r="D67" s="967"/>
      <c r="E67" s="1034" t="s">
        <v>580</v>
      </c>
      <c r="F67" s="1034"/>
      <c r="G67" s="1034"/>
      <c r="H67" s="1035"/>
      <c r="I67" s="968"/>
      <c r="J67" s="968"/>
      <c r="K67" s="967"/>
      <c r="L67" s="967"/>
      <c r="M67" s="967"/>
      <c r="N67" s="967"/>
      <c r="O67" s="1007"/>
      <c r="P67" s="1007"/>
      <c r="Q67" s="1008"/>
    </row>
    <row r="68" spans="1:17" hidden="1">
      <c r="A68" s="966"/>
      <c r="B68" s="967"/>
      <c r="C68" s="967">
        <v>23</v>
      </c>
      <c r="D68" s="967"/>
      <c r="E68" s="1034" t="s">
        <v>581</v>
      </c>
      <c r="F68" s="1034"/>
      <c r="G68" s="1034"/>
      <c r="H68" s="1035"/>
      <c r="I68" s="968"/>
      <c r="J68" s="968"/>
      <c r="K68" s="967"/>
      <c r="L68" s="967"/>
      <c r="M68" s="967"/>
      <c r="N68" s="967"/>
      <c r="O68" s="1007"/>
      <c r="P68" s="1007"/>
      <c r="Q68" s="1008"/>
    </row>
    <row r="69" spans="1:17" ht="18" hidden="1" customHeight="1">
      <c r="A69" s="966"/>
      <c r="B69" s="967"/>
      <c r="C69" s="967">
        <v>24</v>
      </c>
      <c r="D69" s="967"/>
      <c r="E69" s="1034" t="s">
        <v>582</v>
      </c>
      <c r="F69" s="1034"/>
      <c r="G69" s="1034"/>
      <c r="H69" s="1035"/>
      <c r="I69" s="968"/>
      <c r="J69" s="968"/>
      <c r="K69" s="967"/>
      <c r="L69" s="967"/>
      <c r="M69" s="967"/>
      <c r="N69" s="967"/>
      <c r="O69" s="1007"/>
      <c r="P69" s="1007"/>
      <c r="Q69" s="1008"/>
    </row>
    <row r="70" spans="1:17" ht="15.75" hidden="1" customHeight="1">
      <c r="A70" s="966"/>
      <c r="B70" s="967"/>
      <c r="C70" s="967">
        <v>25</v>
      </c>
      <c r="D70" s="967"/>
      <c r="E70" s="1034" t="s">
        <v>583</v>
      </c>
      <c r="F70" s="1034"/>
      <c r="G70" s="1034"/>
      <c r="H70" s="1035"/>
      <c r="I70" s="968"/>
      <c r="J70" s="968"/>
      <c r="K70" s="967"/>
      <c r="L70" s="967"/>
      <c r="M70" s="967"/>
      <c r="N70" s="967"/>
      <c r="O70" s="1007"/>
      <c r="P70" s="1007"/>
      <c r="Q70" s="1008"/>
    </row>
    <row r="71" spans="1:17" hidden="1">
      <c r="A71" s="966"/>
      <c r="B71" s="967"/>
      <c r="C71" s="967">
        <v>26</v>
      </c>
      <c r="D71" s="967"/>
      <c r="E71" s="1034" t="s">
        <v>584</v>
      </c>
      <c r="F71" s="1034"/>
      <c r="G71" s="1034"/>
      <c r="H71" s="1035"/>
      <c r="I71" s="968"/>
      <c r="J71" s="968"/>
      <c r="K71" s="967"/>
      <c r="L71" s="967"/>
      <c r="M71" s="967"/>
      <c r="N71" s="967"/>
      <c r="O71" s="1007"/>
      <c r="P71" s="1007"/>
      <c r="Q71" s="1008"/>
    </row>
    <row r="72" spans="1:17" hidden="1">
      <c r="A72" s="966"/>
      <c r="B72" s="967"/>
      <c r="C72" s="967">
        <v>27</v>
      </c>
      <c r="D72" s="967"/>
      <c r="E72" s="1034" t="s">
        <v>585</v>
      </c>
      <c r="F72" s="1034"/>
      <c r="G72" s="1034"/>
      <c r="H72" s="1035"/>
      <c r="I72" s="968"/>
      <c r="J72" s="968"/>
      <c r="K72" s="967"/>
      <c r="L72" s="967"/>
      <c r="M72" s="967"/>
      <c r="N72" s="967"/>
      <c r="O72" s="1007"/>
      <c r="P72" s="1007"/>
      <c r="Q72" s="1008"/>
    </row>
    <row r="73" spans="1:17" hidden="1">
      <c r="A73" s="966"/>
      <c r="B73" s="967"/>
      <c r="C73" s="967">
        <v>28</v>
      </c>
      <c r="D73" s="967"/>
      <c r="E73" s="1034" t="s">
        <v>586</v>
      </c>
      <c r="F73" s="1034"/>
      <c r="G73" s="1034"/>
      <c r="H73" s="1035"/>
      <c r="I73" s="968"/>
      <c r="J73" s="968"/>
      <c r="K73" s="967"/>
      <c r="L73" s="967"/>
      <c r="M73" s="967"/>
      <c r="N73" s="967"/>
      <c r="O73" s="1007"/>
      <c r="P73" s="1007"/>
      <c r="Q73" s="1008"/>
    </row>
    <row r="74" spans="1:17" hidden="1">
      <c r="A74" s="966"/>
      <c r="B74" s="967"/>
      <c r="C74" s="967">
        <v>29</v>
      </c>
      <c r="D74" s="967"/>
      <c r="E74" s="1034" t="s">
        <v>587</v>
      </c>
      <c r="F74" s="1034"/>
      <c r="G74" s="1034"/>
      <c r="H74" s="1035"/>
      <c r="I74" s="968"/>
      <c r="J74" s="968"/>
      <c r="K74" s="967"/>
      <c r="L74" s="967"/>
      <c r="M74" s="967"/>
      <c r="N74" s="967"/>
      <c r="O74" s="1007"/>
      <c r="P74" s="1007"/>
      <c r="Q74" s="1008"/>
    </row>
    <row r="75" spans="1:17" hidden="1">
      <c r="A75" s="966"/>
      <c r="B75" s="967"/>
      <c r="C75" s="967">
        <v>30</v>
      </c>
      <c r="D75" s="967"/>
      <c r="E75" s="1034" t="s">
        <v>588</v>
      </c>
      <c r="F75" s="1034"/>
      <c r="G75" s="1034"/>
      <c r="H75" s="1035"/>
      <c r="I75" s="968"/>
      <c r="J75" s="968"/>
      <c r="K75" s="967"/>
      <c r="L75" s="967"/>
      <c r="M75" s="967"/>
      <c r="N75" s="967"/>
      <c r="O75" s="1007"/>
      <c r="P75" s="1007"/>
      <c r="Q75" s="1008"/>
    </row>
    <row r="76" spans="1:17" hidden="1">
      <c r="A76" s="966"/>
      <c r="B76" s="967"/>
      <c r="C76" s="967">
        <v>31</v>
      </c>
      <c r="D76" s="967"/>
      <c r="E76" s="1034" t="s">
        <v>589</v>
      </c>
      <c r="F76" s="1034"/>
      <c r="G76" s="1034"/>
      <c r="H76" s="1035"/>
      <c r="I76" s="968"/>
      <c r="J76" s="968"/>
      <c r="K76" s="967"/>
      <c r="L76" s="967"/>
      <c r="M76" s="967"/>
      <c r="N76" s="967"/>
      <c r="O76" s="1007"/>
      <c r="P76" s="1007"/>
      <c r="Q76" s="1008"/>
    </row>
    <row r="77" spans="1:17" ht="18" hidden="1" customHeight="1">
      <c r="A77" s="966"/>
      <c r="B77" s="967"/>
      <c r="C77" s="967">
        <v>32</v>
      </c>
      <c r="D77" s="967"/>
      <c r="E77" s="1034" t="s">
        <v>590</v>
      </c>
      <c r="F77" s="1034"/>
      <c r="G77" s="1034"/>
      <c r="H77" s="1035"/>
      <c r="I77" s="968"/>
      <c r="J77" s="968"/>
      <c r="K77" s="967"/>
      <c r="L77" s="967"/>
      <c r="M77" s="967"/>
      <c r="N77" s="967"/>
      <c r="O77" s="1007"/>
      <c r="P77" s="1007"/>
      <c r="Q77" s="1008"/>
    </row>
    <row r="78" spans="1:17" ht="15.75" hidden="1" customHeight="1">
      <c r="A78" s="966"/>
      <c r="B78" s="967"/>
      <c r="C78" s="967">
        <v>33</v>
      </c>
      <c r="D78" s="967"/>
      <c r="E78" s="1034" t="s">
        <v>591</v>
      </c>
      <c r="F78" s="1034"/>
      <c r="G78" s="1034"/>
      <c r="H78" s="1035"/>
      <c r="I78" s="968"/>
      <c r="J78" s="968"/>
      <c r="K78" s="967"/>
      <c r="L78" s="967"/>
      <c r="M78" s="967"/>
      <c r="N78" s="967"/>
      <c r="O78" s="1007"/>
      <c r="P78" s="1007"/>
      <c r="Q78" s="1008"/>
    </row>
    <row r="79" spans="1:17" hidden="1">
      <c r="A79" s="966"/>
      <c r="B79" s="967"/>
      <c r="C79" s="967">
        <v>34</v>
      </c>
      <c r="D79" s="967"/>
      <c r="E79" s="1034" t="s">
        <v>592</v>
      </c>
      <c r="F79" s="1034"/>
      <c r="G79" s="1034"/>
      <c r="H79" s="1035"/>
      <c r="I79" s="968"/>
      <c r="J79" s="968"/>
      <c r="K79" s="967"/>
      <c r="L79" s="967"/>
      <c r="M79" s="967"/>
      <c r="N79" s="967"/>
      <c r="O79" s="1007"/>
      <c r="P79" s="1007"/>
      <c r="Q79" s="1008"/>
    </row>
    <row r="80" spans="1:17" hidden="1">
      <c r="A80" s="966"/>
      <c r="B80" s="967"/>
      <c r="C80" s="967">
        <v>35</v>
      </c>
      <c r="D80" s="967"/>
      <c r="E80" s="1034" t="s">
        <v>593</v>
      </c>
      <c r="F80" s="1034"/>
      <c r="G80" s="1034"/>
      <c r="H80" s="1035"/>
      <c r="I80" s="968"/>
      <c r="J80" s="968"/>
      <c r="K80" s="967"/>
      <c r="L80" s="967"/>
      <c r="M80" s="967"/>
      <c r="N80" s="967"/>
      <c r="O80" s="1007"/>
      <c r="P80" s="1007"/>
      <c r="Q80" s="1008"/>
    </row>
    <row r="81" spans="1:17" hidden="1">
      <c r="A81" s="966"/>
      <c r="B81" s="967"/>
      <c r="C81" s="967">
        <v>36</v>
      </c>
      <c r="D81" s="967"/>
      <c r="E81" s="1034" t="s">
        <v>594</v>
      </c>
      <c r="F81" s="1034"/>
      <c r="G81" s="1034"/>
      <c r="H81" s="1035"/>
      <c r="I81" s="968"/>
      <c r="J81" s="968"/>
      <c r="K81" s="967"/>
      <c r="L81" s="967"/>
      <c r="M81" s="967"/>
      <c r="N81" s="967"/>
      <c r="O81" s="1007"/>
      <c r="P81" s="1007"/>
      <c r="Q81" s="1008"/>
    </row>
    <row r="82" spans="1:17" ht="15.75" hidden="1" customHeight="1">
      <c r="A82" s="966"/>
      <c r="B82" s="967"/>
      <c r="C82" s="967">
        <v>37</v>
      </c>
      <c r="D82" s="967"/>
      <c r="E82" s="1034" t="s">
        <v>595</v>
      </c>
      <c r="F82" s="1034"/>
      <c r="G82" s="1034"/>
      <c r="H82" s="1035"/>
      <c r="I82" s="968"/>
      <c r="J82" s="968"/>
      <c r="K82" s="967"/>
      <c r="L82" s="967"/>
      <c r="M82" s="967"/>
      <c r="N82" s="967"/>
      <c r="O82" s="1007"/>
      <c r="P82" s="1007"/>
      <c r="Q82" s="1008"/>
    </row>
    <row r="83" spans="1:17" hidden="1">
      <c r="A83" s="966"/>
      <c r="B83" s="967"/>
      <c r="C83" s="967">
        <v>38</v>
      </c>
      <c r="D83" s="967"/>
      <c r="E83" s="1034" t="s">
        <v>596</v>
      </c>
      <c r="F83" s="1034"/>
      <c r="G83" s="1034"/>
      <c r="H83" s="1035"/>
      <c r="I83" s="968"/>
      <c r="J83" s="968"/>
      <c r="K83" s="967"/>
      <c r="L83" s="967"/>
      <c r="M83" s="967"/>
      <c r="N83" s="967"/>
      <c r="O83" s="1007"/>
      <c r="P83" s="1007"/>
      <c r="Q83" s="1008"/>
    </row>
    <row r="84" spans="1:17" ht="30" hidden="1" customHeight="1">
      <c r="A84" s="966"/>
      <c r="B84" s="967"/>
      <c r="C84" s="967">
        <v>39</v>
      </c>
      <c r="D84" s="967"/>
      <c r="E84" s="1034" t="s">
        <v>597</v>
      </c>
      <c r="F84" s="1034"/>
      <c r="G84" s="1034"/>
      <c r="H84" s="1035"/>
      <c r="I84" s="968"/>
      <c r="J84" s="968"/>
      <c r="K84" s="967"/>
      <c r="L84" s="967"/>
      <c r="M84" s="967"/>
      <c r="N84" s="967"/>
      <c r="O84" s="1007"/>
      <c r="P84" s="1007"/>
      <c r="Q84" s="1008"/>
    </row>
    <row r="85" spans="1:17" hidden="1">
      <c r="A85" s="966"/>
      <c r="B85" s="967"/>
      <c r="C85" s="967">
        <v>40</v>
      </c>
      <c r="D85" s="967"/>
      <c r="E85" s="1034" t="s">
        <v>598</v>
      </c>
      <c r="F85" s="1034"/>
      <c r="G85" s="1034"/>
      <c r="H85" s="1035"/>
      <c r="I85" s="968"/>
      <c r="J85" s="968"/>
      <c r="K85" s="967"/>
      <c r="L85" s="967"/>
      <c r="M85" s="967"/>
      <c r="N85" s="967"/>
      <c r="O85" s="1007"/>
      <c r="P85" s="1007"/>
      <c r="Q85" s="1008"/>
    </row>
    <row r="86" spans="1:17" hidden="1">
      <c r="A86" s="966"/>
      <c r="B86" s="967"/>
      <c r="C86" s="967">
        <v>41</v>
      </c>
      <c r="D86" s="967"/>
      <c r="E86" s="1034" t="s">
        <v>599</v>
      </c>
      <c r="F86" s="1034"/>
      <c r="G86" s="1034"/>
      <c r="H86" s="1035"/>
      <c r="I86" s="968"/>
      <c r="J86" s="968"/>
      <c r="K86" s="967"/>
      <c r="L86" s="967"/>
      <c r="M86" s="967"/>
      <c r="N86" s="967"/>
      <c r="O86" s="1007"/>
      <c r="P86" s="1007"/>
      <c r="Q86" s="1008"/>
    </row>
    <row r="87" spans="1:17" hidden="1">
      <c r="A87" s="966"/>
      <c r="B87" s="967"/>
      <c r="C87" s="967">
        <v>42</v>
      </c>
      <c r="D87" s="967"/>
      <c r="E87" s="1034" t="s">
        <v>600</v>
      </c>
      <c r="F87" s="1034"/>
      <c r="G87" s="1034"/>
      <c r="H87" s="1035"/>
      <c r="I87" s="968"/>
      <c r="J87" s="968"/>
      <c r="K87" s="967"/>
      <c r="L87" s="967"/>
      <c r="M87" s="967"/>
      <c r="N87" s="967"/>
      <c r="O87" s="1007"/>
      <c r="P87" s="1007"/>
      <c r="Q87" s="1008"/>
    </row>
    <row r="88" spans="1:17" hidden="1">
      <c r="A88" s="966"/>
      <c r="B88" s="967"/>
      <c r="C88" s="967">
        <v>43</v>
      </c>
      <c r="D88" s="967"/>
      <c r="E88" s="1034" t="s">
        <v>601</v>
      </c>
      <c r="F88" s="1034"/>
      <c r="G88" s="1034"/>
      <c r="H88" s="1035"/>
      <c r="I88" s="968"/>
      <c r="J88" s="968"/>
      <c r="K88" s="967"/>
      <c r="L88" s="967"/>
      <c r="M88" s="967"/>
      <c r="N88" s="967"/>
      <c r="O88" s="1007"/>
      <c r="P88" s="1007"/>
      <c r="Q88" s="1008"/>
    </row>
    <row r="89" spans="1:17" hidden="1">
      <c r="A89" s="966"/>
      <c r="B89" s="967"/>
      <c r="C89" s="967">
        <v>44</v>
      </c>
      <c r="D89" s="967"/>
      <c r="E89" s="1034" t="s">
        <v>602</v>
      </c>
      <c r="F89" s="1034"/>
      <c r="G89" s="1034"/>
      <c r="H89" s="1035"/>
      <c r="I89" s="968"/>
      <c r="J89" s="968"/>
      <c r="K89" s="967"/>
      <c r="L89" s="967"/>
      <c r="M89" s="967"/>
      <c r="N89" s="967"/>
      <c r="O89" s="1007"/>
      <c r="P89" s="1007"/>
      <c r="Q89" s="1008"/>
    </row>
    <row r="90" spans="1:17" ht="18" hidden="1" customHeight="1">
      <c r="A90" s="966"/>
      <c r="B90" s="967"/>
      <c r="C90" s="967">
        <v>45</v>
      </c>
      <c r="D90" s="967"/>
      <c r="E90" s="1034" t="s">
        <v>603</v>
      </c>
      <c r="F90" s="1034"/>
      <c r="G90" s="1034"/>
      <c r="H90" s="1035"/>
      <c r="I90" s="968"/>
      <c r="J90" s="968"/>
      <c r="K90" s="967"/>
      <c r="L90" s="967"/>
      <c r="M90" s="967"/>
      <c r="N90" s="967"/>
      <c r="O90" s="1007"/>
      <c r="P90" s="1007"/>
      <c r="Q90" s="1008"/>
    </row>
    <row r="91" spans="1:17" hidden="1">
      <c r="A91" s="966"/>
      <c r="B91" s="967"/>
      <c r="C91" s="967">
        <v>46</v>
      </c>
      <c r="D91" s="967"/>
      <c r="E91" s="1034" t="s">
        <v>604</v>
      </c>
      <c r="F91" s="1034"/>
      <c r="G91" s="1034"/>
      <c r="H91" s="1035"/>
      <c r="I91" s="968"/>
      <c r="J91" s="968"/>
      <c r="K91" s="967"/>
      <c r="L91" s="967"/>
      <c r="M91" s="967"/>
      <c r="N91" s="967"/>
      <c r="O91" s="1007"/>
      <c r="P91" s="1007"/>
      <c r="Q91" s="1008"/>
    </row>
    <row r="92" spans="1:17" ht="15.75" hidden="1" customHeight="1">
      <c r="A92" s="966"/>
      <c r="B92" s="967"/>
      <c r="C92" s="967">
        <v>47</v>
      </c>
      <c r="D92" s="967"/>
      <c r="E92" s="1034" t="s">
        <v>1967</v>
      </c>
      <c r="F92" s="1034"/>
      <c r="G92" s="1034"/>
      <c r="H92" s="1035"/>
      <c r="I92" s="968"/>
      <c r="J92" s="968"/>
      <c r="K92" s="967"/>
      <c r="L92" s="967"/>
      <c r="M92" s="967"/>
      <c r="N92" s="967"/>
      <c r="O92" s="1007"/>
      <c r="P92" s="1007"/>
      <c r="Q92" s="1008"/>
    </row>
    <row r="93" spans="1:17" hidden="1">
      <c r="A93" s="966"/>
      <c r="B93" s="967"/>
      <c r="C93" s="967">
        <v>48</v>
      </c>
      <c r="D93" s="967"/>
      <c r="E93" s="1034" t="s">
        <v>605</v>
      </c>
      <c r="F93" s="1034"/>
      <c r="G93" s="1034"/>
      <c r="H93" s="1035"/>
      <c r="I93" s="968"/>
      <c r="J93" s="968"/>
      <c r="K93" s="967"/>
      <c r="L93" s="967"/>
      <c r="M93" s="967"/>
      <c r="N93" s="967"/>
      <c r="O93" s="1007"/>
      <c r="P93" s="1007"/>
      <c r="Q93" s="1008"/>
    </row>
    <row r="94" spans="1:17" hidden="1">
      <c r="A94" s="966"/>
      <c r="B94" s="967"/>
      <c r="C94" s="967">
        <v>49</v>
      </c>
      <c r="D94" s="967"/>
      <c r="E94" s="1034" t="s">
        <v>606</v>
      </c>
      <c r="F94" s="1034"/>
      <c r="G94" s="1034"/>
      <c r="H94" s="1035"/>
      <c r="I94" s="968"/>
      <c r="J94" s="968"/>
      <c r="K94" s="967"/>
      <c r="L94" s="967"/>
      <c r="M94" s="967"/>
      <c r="N94" s="967"/>
      <c r="O94" s="1007"/>
      <c r="P94" s="1007"/>
      <c r="Q94" s="1008"/>
    </row>
    <row r="95" spans="1:17" hidden="1">
      <c r="A95" s="966"/>
      <c r="B95" s="967"/>
      <c r="C95" s="967">
        <v>50</v>
      </c>
      <c r="D95" s="967"/>
      <c r="E95" s="1034" t="s">
        <v>607</v>
      </c>
      <c r="F95" s="1034"/>
      <c r="G95" s="1034"/>
      <c r="H95" s="1035"/>
      <c r="I95" s="968"/>
      <c r="J95" s="968"/>
      <c r="K95" s="967"/>
      <c r="L95" s="967"/>
      <c r="M95" s="967"/>
      <c r="N95" s="967"/>
      <c r="O95" s="1007"/>
      <c r="P95" s="1007"/>
      <c r="Q95" s="1008"/>
    </row>
    <row r="96" spans="1:17" hidden="1">
      <c r="A96" s="966"/>
      <c r="B96" s="967"/>
      <c r="C96" s="967">
        <v>51</v>
      </c>
      <c r="D96" s="967"/>
      <c r="E96" s="968"/>
      <c r="F96" s="968"/>
      <c r="G96" s="1034"/>
      <c r="H96" s="1035"/>
      <c r="I96" s="968"/>
      <c r="J96" s="968"/>
      <c r="K96" s="967"/>
      <c r="L96" s="967"/>
      <c r="M96" s="967"/>
      <c r="N96" s="967"/>
      <c r="O96" s="1007"/>
      <c r="P96" s="1007"/>
      <c r="Q96" s="1008"/>
    </row>
    <row r="97" spans="1:17" hidden="1">
      <c r="A97" s="966"/>
      <c r="B97" s="967"/>
      <c r="C97" s="967">
        <v>52</v>
      </c>
      <c r="D97" s="967"/>
      <c r="E97" s="968"/>
      <c r="F97" s="968"/>
      <c r="G97" s="1034"/>
      <c r="H97" s="1035"/>
      <c r="I97" s="968"/>
      <c r="J97" s="968"/>
      <c r="K97" s="967"/>
      <c r="L97" s="967"/>
      <c r="M97" s="967"/>
      <c r="N97" s="967"/>
      <c r="O97" s="1007"/>
      <c r="P97" s="1007"/>
      <c r="Q97" s="1008"/>
    </row>
    <row r="98" spans="1:17" hidden="1">
      <c r="A98" s="966"/>
      <c r="B98" s="967"/>
      <c r="C98" s="967">
        <v>53</v>
      </c>
      <c r="D98" s="967"/>
      <c r="E98" s="1684"/>
      <c r="F98" s="1684"/>
      <c r="G98" s="1684"/>
      <c r="H98" s="1035"/>
      <c r="I98" s="968"/>
      <c r="J98" s="968"/>
      <c r="K98" s="967"/>
      <c r="L98" s="967"/>
      <c r="M98" s="967"/>
      <c r="N98" s="967"/>
      <c r="O98" s="1007"/>
      <c r="P98" s="1007"/>
      <c r="Q98" s="1008"/>
    </row>
    <row r="99" spans="1:17" hidden="1">
      <c r="A99" s="966"/>
      <c r="B99" s="967"/>
      <c r="C99" s="967">
        <v>54</v>
      </c>
      <c r="D99" s="967"/>
      <c r="E99" s="968"/>
      <c r="F99" s="968"/>
      <c r="G99" s="968"/>
      <c r="H99" s="1035"/>
      <c r="I99" s="968"/>
      <c r="J99" s="968"/>
      <c r="K99" s="967"/>
      <c r="L99" s="967"/>
      <c r="M99" s="967"/>
      <c r="N99" s="967"/>
      <c r="O99" s="1007"/>
      <c r="P99" s="1007"/>
      <c r="Q99" s="1008"/>
    </row>
    <row r="100" spans="1:17" hidden="1">
      <c r="A100" s="966"/>
      <c r="B100" s="967"/>
      <c r="C100" s="967">
        <v>55</v>
      </c>
      <c r="D100" s="967"/>
      <c r="E100" s="968"/>
      <c r="F100" s="968"/>
      <c r="G100" s="968"/>
      <c r="H100" s="1035"/>
      <c r="I100" s="968"/>
      <c r="J100" s="968"/>
      <c r="K100" s="967"/>
      <c r="L100" s="967"/>
      <c r="M100" s="967"/>
      <c r="N100" s="967"/>
      <c r="O100" s="1007"/>
      <c r="P100" s="1007"/>
      <c r="Q100" s="1008"/>
    </row>
    <row r="101" spans="1:17" hidden="1">
      <c r="A101" s="966"/>
      <c r="B101" s="967"/>
      <c r="C101" s="967">
        <v>56</v>
      </c>
      <c r="D101" s="967"/>
      <c r="E101" s="968"/>
      <c r="F101" s="968"/>
      <c r="G101" s="968"/>
      <c r="H101" s="1035"/>
      <c r="I101" s="968"/>
      <c r="J101" s="968"/>
      <c r="K101" s="967"/>
      <c r="L101" s="967"/>
      <c r="M101" s="967"/>
      <c r="N101" s="967"/>
      <c r="O101" s="1007"/>
      <c r="P101" s="1007"/>
      <c r="Q101" s="1008"/>
    </row>
    <row r="102" spans="1:17" hidden="1">
      <c r="A102" s="966"/>
      <c r="B102" s="967"/>
      <c r="C102" s="967">
        <v>57</v>
      </c>
      <c r="D102" s="967"/>
      <c r="E102" s="968"/>
      <c r="F102" s="968"/>
      <c r="G102" s="968"/>
      <c r="H102" s="1035"/>
      <c r="I102" s="968"/>
      <c r="J102" s="968"/>
      <c r="K102" s="967"/>
      <c r="L102" s="967"/>
      <c r="M102" s="967"/>
      <c r="N102" s="967"/>
      <c r="O102" s="1007"/>
      <c r="P102" s="1007"/>
      <c r="Q102" s="1008"/>
    </row>
    <row r="103" spans="1:17" hidden="1">
      <c r="A103" s="966"/>
      <c r="B103" s="967"/>
      <c r="C103" s="967">
        <v>58</v>
      </c>
      <c r="D103" s="967"/>
      <c r="E103" s="968"/>
      <c r="F103" s="968"/>
      <c r="G103" s="968"/>
      <c r="H103" s="1035"/>
      <c r="I103" s="968"/>
      <c r="J103" s="968"/>
      <c r="K103" s="967"/>
      <c r="L103" s="967"/>
      <c r="M103" s="967"/>
      <c r="N103" s="967"/>
      <c r="O103" s="1007"/>
      <c r="P103" s="1007"/>
      <c r="Q103" s="1008"/>
    </row>
    <row r="104" spans="1:17" hidden="1">
      <c r="A104" s="966"/>
      <c r="B104" s="967"/>
      <c r="C104" s="967">
        <v>59</v>
      </c>
      <c r="D104" s="967"/>
      <c r="E104" s="1038"/>
      <c r="F104" s="1038"/>
      <c r="G104" s="1039"/>
      <c r="H104" s="1039"/>
      <c r="I104" s="968"/>
      <c r="J104" s="968"/>
      <c r="K104" s="967"/>
      <c r="L104" s="967"/>
      <c r="M104" s="967"/>
      <c r="N104" s="967"/>
      <c r="O104" s="1007"/>
      <c r="P104" s="1007"/>
      <c r="Q104" s="1008"/>
    </row>
    <row r="105" spans="1:17" hidden="1">
      <c r="A105" s="966"/>
      <c r="B105" s="967"/>
      <c r="C105" s="967">
        <v>60</v>
      </c>
      <c r="D105" s="967"/>
      <c r="E105" s="968"/>
      <c r="F105" s="968"/>
      <c r="G105" s="968"/>
      <c r="H105" s="968"/>
      <c r="I105" s="968"/>
      <c r="J105" s="968"/>
      <c r="K105" s="967"/>
      <c r="L105" s="967"/>
      <c r="M105" s="967"/>
      <c r="N105" s="967"/>
      <c r="O105" s="1007"/>
      <c r="P105" s="1007"/>
      <c r="Q105" s="1008"/>
    </row>
    <row r="106" spans="1:17" hidden="1">
      <c r="A106" s="966"/>
      <c r="B106" s="967"/>
      <c r="C106" s="967">
        <v>61</v>
      </c>
      <c r="D106" s="967"/>
      <c r="E106" s="968"/>
      <c r="F106" s="968"/>
      <c r="G106" s="968"/>
      <c r="H106" s="968"/>
      <c r="I106" s="968"/>
      <c r="J106" s="968"/>
      <c r="K106" s="967"/>
      <c r="L106" s="967"/>
      <c r="M106" s="967"/>
      <c r="N106" s="967"/>
      <c r="O106" s="1007"/>
      <c r="P106" s="1007"/>
      <c r="Q106" s="1008"/>
    </row>
    <row r="107" spans="1:17" hidden="1">
      <c r="A107" s="966"/>
      <c r="B107" s="967"/>
      <c r="C107" s="967">
        <v>62</v>
      </c>
      <c r="D107" s="967"/>
      <c r="E107" s="968"/>
      <c r="F107" s="968"/>
      <c r="G107" s="968"/>
      <c r="H107" s="968"/>
      <c r="I107" s="968"/>
      <c r="J107" s="968"/>
      <c r="K107" s="967"/>
      <c r="L107" s="967"/>
      <c r="M107" s="967"/>
      <c r="N107" s="967"/>
      <c r="O107" s="1007"/>
      <c r="P107" s="1007"/>
      <c r="Q107" s="1008"/>
    </row>
    <row r="108" spans="1:17" hidden="1">
      <c r="A108" s="966"/>
      <c r="B108" s="967"/>
      <c r="C108" s="967">
        <v>63</v>
      </c>
      <c r="D108" s="967"/>
      <c r="E108" s="968"/>
      <c r="F108" s="968"/>
      <c r="G108" s="968"/>
      <c r="H108" s="968"/>
      <c r="I108" s="968"/>
      <c r="J108" s="968"/>
      <c r="K108" s="967"/>
      <c r="L108" s="967"/>
      <c r="M108" s="967"/>
      <c r="N108" s="967"/>
      <c r="O108" s="1007"/>
      <c r="P108" s="1007"/>
      <c r="Q108" s="1008"/>
    </row>
    <row r="109" spans="1:17" hidden="1">
      <c r="A109" s="966"/>
      <c r="B109" s="967"/>
      <c r="C109" s="967">
        <v>64</v>
      </c>
      <c r="D109" s="967"/>
      <c r="E109" s="968"/>
      <c r="F109" s="968"/>
      <c r="G109" s="968"/>
      <c r="H109" s="968"/>
      <c r="I109" s="968"/>
      <c r="J109" s="968"/>
      <c r="K109" s="967"/>
      <c r="L109" s="967"/>
      <c r="M109" s="967"/>
      <c r="N109" s="967"/>
      <c r="O109" s="1007"/>
      <c r="P109" s="1007"/>
      <c r="Q109" s="1008"/>
    </row>
    <row r="110" spans="1:17" hidden="1">
      <c r="A110" s="966"/>
      <c r="B110" s="967"/>
      <c r="C110" s="967">
        <v>65</v>
      </c>
      <c r="D110" s="967"/>
      <c r="E110" s="968"/>
      <c r="F110" s="968"/>
      <c r="G110" s="968"/>
      <c r="H110" s="968"/>
      <c r="I110" s="968"/>
      <c r="J110" s="968"/>
      <c r="K110" s="967"/>
      <c r="L110" s="967"/>
      <c r="M110" s="967"/>
      <c r="N110" s="967"/>
      <c r="O110" s="1007"/>
      <c r="P110" s="1007"/>
      <c r="Q110" s="1008"/>
    </row>
    <row r="111" spans="1:17" hidden="1">
      <c r="A111" s="966"/>
      <c r="B111" s="967"/>
      <c r="C111" s="967">
        <v>66</v>
      </c>
      <c r="D111" s="967"/>
      <c r="E111" s="968"/>
      <c r="F111" s="968"/>
      <c r="G111" s="968"/>
      <c r="H111" s="968"/>
      <c r="I111" s="968"/>
      <c r="J111" s="968"/>
      <c r="K111" s="967"/>
      <c r="L111" s="967"/>
      <c r="M111" s="967"/>
      <c r="N111" s="967"/>
      <c r="O111" s="1007"/>
      <c r="P111" s="1007"/>
      <c r="Q111" s="1008"/>
    </row>
    <row r="112" spans="1:17" hidden="1">
      <c r="A112" s="966"/>
      <c r="B112" s="967"/>
      <c r="C112" s="967">
        <v>67</v>
      </c>
      <c r="D112" s="967"/>
      <c r="E112" s="968"/>
      <c r="F112" s="968"/>
      <c r="G112" s="968"/>
      <c r="H112" s="968"/>
      <c r="I112" s="968"/>
      <c r="J112" s="968"/>
      <c r="K112" s="967"/>
      <c r="L112" s="967"/>
      <c r="M112" s="967"/>
      <c r="N112" s="967"/>
      <c r="O112" s="1007"/>
      <c r="P112" s="1007"/>
      <c r="Q112" s="1008"/>
    </row>
    <row r="113" spans="1:17" hidden="1">
      <c r="A113" s="966"/>
      <c r="B113" s="967"/>
      <c r="C113" s="967">
        <v>68</v>
      </c>
      <c r="D113" s="967"/>
      <c r="E113" s="968"/>
      <c r="F113" s="968"/>
      <c r="G113" s="968"/>
      <c r="H113" s="968"/>
      <c r="I113" s="968"/>
      <c r="J113" s="968"/>
      <c r="K113" s="967"/>
      <c r="L113" s="967"/>
      <c r="M113" s="967"/>
      <c r="N113" s="967"/>
      <c r="O113" s="1007"/>
      <c r="P113" s="1007"/>
      <c r="Q113" s="1008"/>
    </row>
    <row r="114" spans="1:17" hidden="1">
      <c r="A114" s="966"/>
      <c r="B114" s="967"/>
      <c r="C114" s="967">
        <v>69</v>
      </c>
      <c r="D114" s="967"/>
      <c r="E114" s="968"/>
      <c r="F114" s="968"/>
      <c r="G114" s="968"/>
      <c r="H114" s="968"/>
      <c r="I114" s="968"/>
      <c r="J114" s="968"/>
      <c r="K114" s="967"/>
      <c r="L114" s="967"/>
      <c r="M114" s="967"/>
      <c r="N114" s="967"/>
      <c r="O114" s="1007"/>
      <c r="P114" s="1007"/>
      <c r="Q114" s="1008"/>
    </row>
    <row r="115" spans="1:17" hidden="1">
      <c r="A115" s="966"/>
      <c r="B115" s="967"/>
      <c r="C115" s="967">
        <v>70</v>
      </c>
      <c r="D115" s="967"/>
      <c r="E115" s="968"/>
      <c r="F115" s="968"/>
      <c r="G115" s="968"/>
      <c r="H115" s="968"/>
      <c r="I115" s="968"/>
      <c r="J115" s="968"/>
      <c r="K115" s="967"/>
      <c r="L115" s="967"/>
      <c r="M115" s="967"/>
      <c r="N115" s="967"/>
      <c r="O115" s="1007"/>
      <c r="P115" s="1007"/>
      <c r="Q115" s="1008"/>
    </row>
    <row r="116" spans="1:17" hidden="1">
      <c r="A116" s="966"/>
      <c r="B116" s="967"/>
      <c r="C116" s="967">
        <v>71</v>
      </c>
      <c r="D116" s="967"/>
      <c r="E116" s="968"/>
      <c r="F116" s="968"/>
      <c r="G116" s="968"/>
      <c r="H116" s="968"/>
      <c r="I116" s="968"/>
      <c r="J116" s="968"/>
      <c r="K116" s="967"/>
      <c r="L116" s="967"/>
      <c r="M116" s="967"/>
      <c r="N116" s="967"/>
      <c r="O116" s="1007"/>
      <c r="P116" s="1007"/>
      <c r="Q116" s="1008"/>
    </row>
    <row r="117" spans="1:17" hidden="1">
      <c r="A117" s="966"/>
      <c r="B117" s="967"/>
      <c r="C117" s="967">
        <v>72</v>
      </c>
      <c r="D117" s="967"/>
      <c r="E117" s="968"/>
      <c r="F117" s="968"/>
      <c r="G117" s="968"/>
      <c r="H117" s="968"/>
      <c r="I117" s="968"/>
      <c r="J117" s="968"/>
      <c r="K117" s="967"/>
      <c r="L117" s="967"/>
      <c r="M117" s="967"/>
      <c r="N117" s="967"/>
      <c r="O117" s="1007"/>
      <c r="P117" s="1007"/>
      <c r="Q117" s="1008"/>
    </row>
    <row r="118" spans="1:17" hidden="1">
      <c r="A118" s="966"/>
      <c r="B118" s="967"/>
      <c r="C118" s="967">
        <v>73</v>
      </c>
      <c r="D118" s="967"/>
      <c r="E118" s="968"/>
      <c r="F118" s="968"/>
      <c r="G118" s="968"/>
      <c r="H118" s="968"/>
      <c r="I118" s="968"/>
      <c r="J118" s="968"/>
      <c r="K118" s="967"/>
      <c r="L118" s="967"/>
      <c r="M118" s="967"/>
      <c r="N118" s="967"/>
      <c r="O118" s="1007"/>
      <c r="P118" s="1007"/>
      <c r="Q118" s="1008"/>
    </row>
    <row r="119" spans="1:17" hidden="1">
      <c r="A119" s="966"/>
      <c r="B119" s="967"/>
      <c r="C119" s="967">
        <v>74</v>
      </c>
      <c r="D119" s="967"/>
      <c r="E119" s="968"/>
      <c r="F119" s="968"/>
      <c r="G119" s="968"/>
      <c r="H119" s="968"/>
      <c r="I119" s="968"/>
      <c r="J119" s="968"/>
      <c r="K119" s="967"/>
      <c r="L119" s="967"/>
      <c r="M119" s="967"/>
      <c r="N119" s="967"/>
      <c r="O119" s="1007"/>
      <c r="P119" s="1007"/>
      <c r="Q119" s="1008"/>
    </row>
    <row r="120" spans="1:17" hidden="1">
      <c r="A120" s="966"/>
      <c r="B120" s="967"/>
      <c r="C120" s="967">
        <v>75</v>
      </c>
      <c r="D120" s="967"/>
      <c r="E120" s="968"/>
      <c r="F120" s="968"/>
      <c r="G120" s="968"/>
      <c r="H120" s="968"/>
      <c r="I120" s="968"/>
      <c r="J120" s="968"/>
      <c r="K120" s="967"/>
      <c r="L120" s="967"/>
      <c r="M120" s="967"/>
      <c r="N120" s="967"/>
      <c r="O120" s="1007"/>
      <c r="P120" s="1007"/>
      <c r="Q120" s="1008"/>
    </row>
    <row r="121" spans="1:17" hidden="1">
      <c r="A121" s="966"/>
      <c r="B121" s="967"/>
      <c r="C121" s="967">
        <v>76</v>
      </c>
      <c r="D121" s="967"/>
      <c r="E121" s="968"/>
      <c r="F121" s="968"/>
      <c r="G121" s="968"/>
      <c r="H121" s="968"/>
      <c r="I121" s="968"/>
      <c r="J121" s="968"/>
      <c r="K121" s="967"/>
      <c r="L121" s="967"/>
      <c r="M121" s="967"/>
      <c r="N121" s="967"/>
      <c r="O121" s="1007"/>
      <c r="P121" s="1007"/>
      <c r="Q121" s="1008"/>
    </row>
    <row r="122" spans="1:17" hidden="1">
      <c r="A122" s="966"/>
      <c r="B122" s="967"/>
      <c r="C122" s="967">
        <v>77</v>
      </c>
      <c r="D122" s="967"/>
      <c r="E122" s="968"/>
      <c r="F122" s="968"/>
      <c r="G122" s="968"/>
      <c r="H122" s="968"/>
      <c r="I122" s="968"/>
      <c r="J122" s="968"/>
      <c r="K122" s="967"/>
      <c r="L122" s="967"/>
      <c r="M122" s="967"/>
      <c r="N122" s="967"/>
      <c r="O122" s="1007"/>
      <c r="P122" s="1007"/>
      <c r="Q122" s="1008"/>
    </row>
    <row r="123" spans="1:17" hidden="1">
      <c r="A123" s="966"/>
      <c r="B123" s="967"/>
      <c r="C123" s="967">
        <v>78</v>
      </c>
      <c r="D123" s="967"/>
      <c r="E123" s="968"/>
      <c r="F123" s="968"/>
      <c r="G123" s="968"/>
      <c r="H123" s="968"/>
      <c r="I123" s="968"/>
      <c r="J123" s="968"/>
      <c r="K123" s="967"/>
      <c r="L123" s="967"/>
      <c r="M123" s="967"/>
      <c r="N123" s="967"/>
      <c r="O123" s="1007"/>
      <c r="P123" s="1007"/>
      <c r="Q123" s="1008"/>
    </row>
    <row r="124" spans="1:17" hidden="1">
      <c r="A124" s="966"/>
      <c r="B124" s="967"/>
      <c r="C124" s="967">
        <v>79</v>
      </c>
      <c r="D124" s="967"/>
      <c r="E124" s="968"/>
      <c r="F124" s="968"/>
      <c r="G124" s="968"/>
      <c r="H124" s="968"/>
      <c r="I124" s="968"/>
      <c r="J124" s="968"/>
      <c r="K124" s="967"/>
      <c r="L124" s="967"/>
      <c r="M124" s="967"/>
      <c r="N124" s="967"/>
      <c r="O124" s="1007"/>
      <c r="P124" s="1007"/>
      <c r="Q124" s="1008"/>
    </row>
    <row r="125" spans="1:17" hidden="1">
      <c r="A125" s="966"/>
      <c r="B125" s="967"/>
      <c r="C125" s="967">
        <v>80</v>
      </c>
      <c r="D125" s="967"/>
      <c r="E125" s="968"/>
      <c r="F125" s="968"/>
      <c r="G125" s="968"/>
      <c r="H125" s="968"/>
      <c r="I125" s="968"/>
      <c r="J125" s="968"/>
      <c r="K125" s="967"/>
      <c r="L125" s="967"/>
      <c r="M125" s="967"/>
      <c r="N125" s="967"/>
      <c r="O125" s="1007"/>
      <c r="P125" s="1007"/>
      <c r="Q125" s="1008"/>
    </row>
    <row r="126" spans="1:17" hidden="1">
      <c r="A126" s="966"/>
      <c r="B126" s="967"/>
      <c r="C126" s="967">
        <v>81</v>
      </c>
      <c r="D126" s="967"/>
      <c r="E126" s="968"/>
      <c r="F126" s="968"/>
      <c r="G126" s="968"/>
      <c r="H126" s="968"/>
      <c r="I126" s="968"/>
      <c r="J126" s="968"/>
      <c r="K126" s="967"/>
      <c r="L126" s="967"/>
      <c r="M126" s="967"/>
      <c r="N126" s="967"/>
      <c r="O126" s="1007"/>
      <c r="P126" s="1007"/>
      <c r="Q126" s="1008"/>
    </row>
    <row r="127" spans="1:17" hidden="1">
      <c r="A127" s="966"/>
      <c r="B127" s="967"/>
      <c r="C127" s="967">
        <v>82</v>
      </c>
      <c r="D127" s="967"/>
      <c r="E127" s="968"/>
      <c r="F127" s="968"/>
      <c r="G127" s="968"/>
      <c r="H127" s="968"/>
      <c r="I127" s="968"/>
      <c r="J127" s="968"/>
      <c r="K127" s="967"/>
      <c r="L127" s="967"/>
      <c r="M127" s="967"/>
      <c r="N127" s="967"/>
      <c r="O127" s="1007"/>
      <c r="P127" s="1007"/>
      <c r="Q127" s="1008"/>
    </row>
    <row r="128" spans="1:17" hidden="1">
      <c r="A128" s="966"/>
      <c r="B128" s="967"/>
      <c r="C128" s="967">
        <v>83</v>
      </c>
      <c r="D128" s="967"/>
      <c r="E128" s="968"/>
      <c r="F128" s="968"/>
      <c r="G128" s="968"/>
      <c r="H128" s="968"/>
      <c r="I128" s="968"/>
      <c r="J128" s="968"/>
      <c r="K128" s="967"/>
      <c r="L128" s="967"/>
      <c r="M128" s="967"/>
      <c r="N128" s="967"/>
      <c r="O128" s="1007"/>
      <c r="P128" s="1007"/>
      <c r="Q128" s="1008"/>
    </row>
    <row r="129" spans="1:17" hidden="1">
      <c r="A129" s="966"/>
      <c r="B129" s="967"/>
      <c r="C129" s="967">
        <v>84</v>
      </c>
      <c r="D129" s="967"/>
      <c r="E129" s="968"/>
      <c r="F129" s="968"/>
      <c r="G129" s="968"/>
      <c r="H129" s="968"/>
      <c r="I129" s="968"/>
      <c r="J129" s="968"/>
      <c r="K129" s="967"/>
      <c r="L129" s="967"/>
      <c r="M129" s="967"/>
      <c r="N129" s="967"/>
      <c r="O129" s="1007"/>
      <c r="P129" s="1007"/>
      <c r="Q129" s="1008"/>
    </row>
    <row r="130" spans="1:17" hidden="1">
      <c r="A130" s="966"/>
      <c r="B130" s="967"/>
      <c r="C130" s="967">
        <v>85</v>
      </c>
      <c r="D130" s="967"/>
      <c r="E130" s="968"/>
      <c r="F130" s="968"/>
      <c r="G130" s="968"/>
      <c r="H130" s="968"/>
      <c r="I130" s="968"/>
      <c r="J130" s="968"/>
      <c r="K130" s="967"/>
      <c r="L130" s="967"/>
      <c r="M130" s="967"/>
      <c r="N130" s="967"/>
      <c r="O130" s="1007"/>
      <c r="P130" s="1007"/>
      <c r="Q130" s="1008"/>
    </row>
    <row r="131" spans="1:17" hidden="1">
      <c r="A131" s="966"/>
      <c r="B131" s="967"/>
      <c r="C131" s="967">
        <v>86</v>
      </c>
      <c r="D131" s="967"/>
      <c r="E131" s="968"/>
      <c r="F131" s="968"/>
      <c r="G131" s="968"/>
      <c r="H131" s="968"/>
      <c r="I131" s="968"/>
      <c r="J131" s="968"/>
      <c r="K131" s="967"/>
      <c r="L131" s="967"/>
      <c r="M131" s="967"/>
      <c r="N131" s="967"/>
      <c r="O131" s="1007"/>
      <c r="P131" s="1007"/>
      <c r="Q131" s="1008"/>
    </row>
    <row r="132" spans="1:17" hidden="1">
      <c r="A132" s="966"/>
      <c r="B132" s="967"/>
      <c r="C132" s="967">
        <v>87</v>
      </c>
      <c r="D132" s="967"/>
      <c r="E132" s="968"/>
      <c r="F132" s="968"/>
      <c r="G132" s="968"/>
      <c r="H132" s="968"/>
      <c r="I132" s="968"/>
      <c r="J132" s="968"/>
      <c r="K132" s="967"/>
      <c r="L132" s="967"/>
      <c r="M132" s="967"/>
      <c r="N132" s="967"/>
      <c r="O132" s="1007"/>
      <c r="P132" s="1007"/>
      <c r="Q132" s="1008"/>
    </row>
    <row r="133" spans="1:17" hidden="1">
      <c r="A133" s="966"/>
      <c r="B133" s="967"/>
      <c r="C133" s="967">
        <v>88</v>
      </c>
      <c r="D133" s="967"/>
      <c r="E133" s="968"/>
      <c r="F133" s="968"/>
      <c r="G133" s="968"/>
      <c r="H133" s="968"/>
      <c r="I133" s="968"/>
      <c r="J133" s="968"/>
      <c r="K133" s="967"/>
      <c r="L133" s="967"/>
      <c r="M133" s="967"/>
      <c r="N133" s="967"/>
      <c r="O133" s="1007"/>
      <c r="P133" s="1007"/>
      <c r="Q133" s="1008"/>
    </row>
    <row r="134" spans="1:17" hidden="1">
      <c r="A134" s="966"/>
      <c r="B134" s="967"/>
      <c r="C134" s="967">
        <v>89</v>
      </c>
      <c r="D134" s="967"/>
      <c r="E134" s="968"/>
      <c r="F134" s="968"/>
      <c r="G134" s="968"/>
      <c r="H134" s="968"/>
      <c r="I134" s="968"/>
      <c r="J134" s="968"/>
      <c r="K134" s="967"/>
      <c r="L134" s="967"/>
      <c r="M134" s="967"/>
      <c r="N134" s="967"/>
      <c r="O134" s="1007"/>
      <c r="P134" s="1007"/>
      <c r="Q134" s="1008"/>
    </row>
    <row r="135" spans="1:17" hidden="1">
      <c r="A135" s="966"/>
      <c r="B135" s="967"/>
      <c r="C135" s="967">
        <v>90</v>
      </c>
      <c r="D135" s="967"/>
      <c r="E135" s="968"/>
      <c r="F135" s="968"/>
      <c r="G135" s="968"/>
      <c r="H135" s="968"/>
      <c r="I135" s="968"/>
      <c r="J135" s="968"/>
      <c r="K135" s="967"/>
      <c r="L135" s="967"/>
      <c r="M135" s="967"/>
      <c r="N135" s="967"/>
      <c r="O135" s="1007"/>
      <c r="P135" s="1007"/>
      <c r="Q135" s="1008"/>
    </row>
    <row r="136" spans="1:17" hidden="1">
      <c r="A136" s="966"/>
      <c r="B136" s="967"/>
      <c r="C136" s="967">
        <v>91</v>
      </c>
      <c r="D136" s="967"/>
      <c r="E136" s="968"/>
      <c r="F136" s="968"/>
      <c r="G136" s="968"/>
      <c r="H136" s="968"/>
      <c r="I136" s="968"/>
      <c r="J136" s="968"/>
      <c r="K136" s="967"/>
      <c r="L136" s="967"/>
      <c r="M136" s="967"/>
      <c r="N136" s="967"/>
      <c r="O136" s="1007"/>
      <c r="P136" s="1007"/>
      <c r="Q136" s="1008"/>
    </row>
    <row r="137" spans="1:17" hidden="1">
      <c r="A137" s="966"/>
      <c r="B137" s="967"/>
      <c r="C137" s="967">
        <v>92</v>
      </c>
      <c r="D137" s="967"/>
      <c r="E137" s="968"/>
      <c r="F137" s="968"/>
      <c r="G137" s="968"/>
      <c r="H137" s="968"/>
      <c r="I137" s="968"/>
      <c r="J137" s="968"/>
      <c r="K137" s="967"/>
      <c r="L137" s="967"/>
      <c r="M137" s="967"/>
      <c r="N137" s="967"/>
      <c r="O137" s="1007"/>
      <c r="P137" s="1007"/>
      <c r="Q137" s="1008"/>
    </row>
    <row r="138" spans="1:17" hidden="1">
      <c r="A138" s="966"/>
      <c r="B138" s="967"/>
      <c r="C138" s="967">
        <v>93</v>
      </c>
      <c r="D138" s="967"/>
      <c r="E138" s="968"/>
      <c r="F138" s="968"/>
      <c r="G138" s="968"/>
      <c r="H138" s="968"/>
      <c r="I138" s="968"/>
      <c r="J138" s="968"/>
      <c r="K138" s="967"/>
      <c r="L138" s="967"/>
      <c r="M138" s="967"/>
      <c r="N138" s="967"/>
      <c r="O138" s="1007"/>
      <c r="P138" s="1007"/>
      <c r="Q138" s="1008"/>
    </row>
    <row r="139" spans="1:17" hidden="1">
      <c r="A139" s="966"/>
      <c r="B139" s="967"/>
      <c r="C139" s="967">
        <v>94</v>
      </c>
      <c r="D139" s="967"/>
      <c r="E139" s="968"/>
      <c r="F139" s="968"/>
      <c r="G139" s="968"/>
      <c r="H139" s="968"/>
      <c r="I139" s="968"/>
      <c r="J139" s="968"/>
      <c r="K139" s="967"/>
      <c r="L139" s="967"/>
      <c r="M139" s="967"/>
      <c r="N139" s="967"/>
      <c r="O139" s="1007"/>
      <c r="P139" s="1007"/>
      <c r="Q139" s="1008"/>
    </row>
    <row r="140" spans="1:17" hidden="1">
      <c r="A140" s="966"/>
      <c r="B140" s="967"/>
      <c r="C140" s="967">
        <v>95</v>
      </c>
      <c r="D140" s="967"/>
      <c r="E140" s="968"/>
      <c r="F140" s="968"/>
      <c r="G140" s="968"/>
      <c r="H140" s="968"/>
      <c r="I140" s="968"/>
      <c r="J140" s="968"/>
      <c r="K140" s="967"/>
      <c r="L140" s="967"/>
      <c r="M140" s="967"/>
      <c r="N140" s="967"/>
      <c r="O140" s="1007"/>
      <c r="P140" s="1007"/>
      <c r="Q140" s="1008"/>
    </row>
    <row r="141" spans="1:17" hidden="1">
      <c r="A141" s="966"/>
      <c r="B141" s="967"/>
      <c r="C141" s="967">
        <v>96</v>
      </c>
      <c r="D141" s="967"/>
      <c r="E141" s="968"/>
      <c r="F141" s="968"/>
      <c r="G141" s="968"/>
      <c r="H141" s="968"/>
      <c r="I141" s="968"/>
      <c r="J141" s="968"/>
      <c r="K141" s="967"/>
      <c r="L141" s="967"/>
      <c r="M141" s="967"/>
      <c r="N141" s="967"/>
      <c r="O141" s="1007"/>
      <c r="P141" s="1007"/>
      <c r="Q141" s="1008"/>
    </row>
    <row r="142" spans="1:17" hidden="1">
      <c r="A142" s="966"/>
      <c r="B142" s="967"/>
      <c r="C142" s="967">
        <v>97</v>
      </c>
      <c r="D142" s="967"/>
      <c r="E142" s="968"/>
      <c r="F142" s="968"/>
      <c r="G142" s="968"/>
      <c r="H142" s="968"/>
      <c r="I142" s="968"/>
      <c r="J142" s="968"/>
      <c r="K142" s="967"/>
      <c r="L142" s="967"/>
      <c r="M142" s="967"/>
      <c r="N142" s="967"/>
      <c r="O142" s="1007"/>
      <c r="P142" s="1007"/>
      <c r="Q142" s="1008"/>
    </row>
    <row r="143" spans="1:17" hidden="1">
      <c r="A143" s="966"/>
      <c r="B143" s="967"/>
      <c r="C143" s="967">
        <v>98</v>
      </c>
      <c r="D143" s="967"/>
      <c r="E143" s="968"/>
      <c r="F143" s="968"/>
      <c r="G143" s="968"/>
      <c r="H143" s="968"/>
      <c r="I143" s="968"/>
      <c r="J143" s="968"/>
      <c r="K143" s="967"/>
      <c r="L143" s="967"/>
      <c r="M143" s="967"/>
      <c r="N143" s="967"/>
      <c r="O143" s="1007"/>
      <c r="P143" s="1007"/>
      <c r="Q143" s="1008"/>
    </row>
    <row r="144" spans="1:17" hidden="1">
      <c r="A144" s="966"/>
      <c r="B144" s="967"/>
      <c r="C144" s="967">
        <v>99</v>
      </c>
      <c r="D144" s="967"/>
      <c r="E144" s="968"/>
      <c r="F144" s="968"/>
      <c r="G144" s="968"/>
      <c r="H144" s="968"/>
      <c r="I144" s="968"/>
      <c r="J144" s="968"/>
      <c r="K144" s="967"/>
      <c r="L144" s="967"/>
      <c r="M144" s="967"/>
      <c r="N144" s="967"/>
      <c r="O144" s="1007"/>
      <c r="P144" s="1007"/>
      <c r="Q144" s="1008"/>
    </row>
    <row r="145" spans="1:17" hidden="1">
      <c r="A145" s="966"/>
      <c r="B145" s="967"/>
      <c r="C145" s="967">
        <v>100</v>
      </c>
      <c r="D145" s="967"/>
      <c r="E145" s="968"/>
      <c r="F145" s="968"/>
      <c r="G145" s="968"/>
      <c r="H145" s="968"/>
      <c r="I145" s="968"/>
      <c r="J145" s="968"/>
      <c r="K145" s="967"/>
      <c r="L145" s="967"/>
      <c r="M145" s="967"/>
      <c r="N145" s="967"/>
      <c r="O145" s="1007"/>
      <c r="P145" s="1007"/>
      <c r="Q145" s="1008"/>
    </row>
    <row r="146" spans="1:17" hidden="1">
      <c r="A146" s="966"/>
      <c r="B146" s="967"/>
      <c r="C146" s="967">
        <v>101</v>
      </c>
      <c r="D146" s="967"/>
      <c r="E146" s="968"/>
      <c r="F146" s="968"/>
      <c r="G146" s="968"/>
      <c r="H146" s="968"/>
      <c r="I146" s="968"/>
      <c r="J146" s="968"/>
      <c r="K146" s="967"/>
      <c r="L146" s="967"/>
      <c r="M146" s="967"/>
      <c r="N146" s="967"/>
      <c r="O146" s="1007"/>
      <c r="P146" s="1007"/>
      <c r="Q146" s="1008"/>
    </row>
    <row r="147" spans="1:17" hidden="1">
      <c r="A147" s="966"/>
      <c r="B147" s="967"/>
      <c r="C147" s="967">
        <v>102</v>
      </c>
      <c r="D147" s="967"/>
      <c r="E147" s="968"/>
      <c r="F147" s="968"/>
      <c r="G147" s="968"/>
      <c r="H147" s="968"/>
      <c r="I147" s="968"/>
      <c r="J147" s="968"/>
      <c r="K147" s="967"/>
      <c r="L147" s="967"/>
      <c r="M147" s="967"/>
      <c r="N147" s="967"/>
      <c r="O147" s="1007"/>
      <c r="P147" s="1007"/>
      <c r="Q147" s="1008"/>
    </row>
    <row r="148" spans="1:17" hidden="1">
      <c r="A148" s="966"/>
      <c r="B148" s="967"/>
      <c r="C148" s="967">
        <v>103</v>
      </c>
      <c r="D148" s="967"/>
      <c r="E148" s="968"/>
      <c r="F148" s="968"/>
      <c r="G148" s="968"/>
      <c r="H148" s="968"/>
      <c r="I148" s="968"/>
      <c r="J148" s="968"/>
      <c r="K148" s="967"/>
      <c r="L148" s="967"/>
      <c r="M148" s="967"/>
      <c r="N148" s="967"/>
      <c r="O148" s="1007"/>
      <c r="P148" s="1007"/>
      <c r="Q148" s="1008"/>
    </row>
    <row r="149" spans="1:17" hidden="1">
      <c r="A149" s="966"/>
      <c r="B149" s="967"/>
      <c r="C149" s="967">
        <v>104</v>
      </c>
      <c r="D149" s="967"/>
      <c r="E149" s="968"/>
      <c r="F149" s="968"/>
      <c r="G149" s="968"/>
      <c r="H149" s="968"/>
      <c r="I149" s="968"/>
      <c r="J149" s="968"/>
      <c r="K149" s="967"/>
      <c r="L149" s="967"/>
      <c r="M149" s="967"/>
      <c r="N149" s="967"/>
      <c r="O149" s="1007"/>
      <c r="P149" s="1007"/>
      <c r="Q149" s="1008"/>
    </row>
    <row r="150" spans="1:17" hidden="1">
      <c r="A150" s="966"/>
      <c r="B150" s="967"/>
      <c r="C150" s="967">
        <v>105</v>
      </c>
      <c r="D150" s="967"/>
      <c r="E150" s="968"/>
      <c r="F150" s="968"/>
      <c r="G150" s="968"/>
      <c r="H150" s="968"/>
      <c r="I150" s="968"/>
      <c r="J150" s="968"/>
      <c r="K150" s="967"/>
      <c r="L150" s="967"/>
      <c r="M150" s="967"/>
      <c r="N150" s="967"/>
      <c r="O150" s="1007"/>
      <c r="P150" s="1007"/>
      <c r="Q150" s="1008"/>
    </row>
    <row r="151" spans="1:17" hidden="1">
      <c r="A151" s="966"/>
      <c r="B151" s="967"/>
      <c r="C151" s="967">
        <v>106</v>
      </c>
      <c r="D151" s="967"/>
      <c r="E151" s="968"/>
      <c r="F151" s="968"/>
      <c r="G151" s="968"/>
      <c r="H151" s="968"/>
      <c r="I151" s="968"/>
      <c r="J151" s="968"/>
      <c r="K151" s="967"/>
      <c r="L151" s="967"/>
      <c r="M151" s="967"/>
      <c r="N151" s="967"/>
      <c r="O151" s="1007"/>
      <c r="P151" s="1007"/>
      <c r="Q151" s="1008"/>
    </row>
    <row r="152" spans="1:17" hidden="1">
      <c r="A152" s="966"/>
      <c r="B152" s="967"/>
      <c r="C152" s="967">
        <v>107</v>
      </c>
      <c r="D152" s="967"/>
      <c r="E152" s="968"/>
      <c r="F152" s="968"/>
      <c r="G152" s="968"/>
      <c r="H152" s="968"/>
      <c r="I152" s="968"/>
      <c r="J152" s="968"/>
      <c r="K152" s="967"/>
      <c r="L152" s="967"/>
      <c r="M152" s="967"/>
      <c r="N152" s="967"/>
      <c r="O152" s="1007"/>
      <c r="P152" s="1007"/>
      <c r="Q152" s="1008"/>
    </row>
    <row r="153" spans="1:17" hidden="1">
      <c r="A153" s="966"/>
      <c r="B153" s="967"/>
      <c r="C153" s="967">
        <v>108</v>
      </c>
      <c r="D153" s="967"/>
      <c r="E153" s="968"/>
      <c r="F153" s="968"/>
      <c r="G153" s="968"/>
      <c r="H153" s="968"/>
      <c r="I153" s="968"/>
      <c r="J153" s="968"/>
      <c r="K153" s="967"/>
      <c r="L153" s="967"/>
      <c r="M153" s="967"/>
      <c r="N153" s="967"/>
      <c r="O153" s="1007"/>
      <c r="P153" s="1007"/>
      <c r="Q153" s="1008"/>
    </row>
    <row r="154" spans="1:17" hidden="1">
      <c r="A154" s="966"/>
      <c r="B154" s="967"/>
      <c r="C154" s="967">
        <v>109</v>
      </c>
      <c r="D154" s="967"/>
      <c r="E154" s="968"/>
      <c r="F154" s="968"/>
      <c r="G154" s="968"/>
      <c r="H154" s="968"/>
      <c r="I154" s="968"/>
      <c r="J154" s="968"/>
      <c r="K154" s="967"/>
      <c r="L154" s="967"/>
      <c r="M154" s="967"/>
      <c r="N154" s="967"/>
      <c r="O154" s="1007"/>
      <c r="P154" s="1007"/>
      <c r="Q154" s="1008"/>
    </row>
    <row r="155" spans="1:17" hidden="1">
      <c r="A155" s="966"/>
      <c r="B155" s="967"/>
      <c r="C155" s="967">
        <v>110</v>
      </c>
      <c r="D155" s="967"/>
      <c r="E155" s="968"/>
      <c r="F155" s="968"/>
      <c r="G155" s="968"/>
      <c r="H155" s="968"/>
      <c r="I155" s="968"/>
      <c r="J155" s="968"/>
      <c r="K155" s="967"/>
      <c r="L155" s="967"/>
      <c r="M155" s="967"/>
      <c r="N155" s="967"/>
      <c r="O155" s="1007"/>
      <c r="P155" s="1007"/>
      <c r="Q155" s="1008"/>
    </row>
    <row r="156" spans="1:17" hidden="1">
      <c r="A156" s="966"/>
      <c r="B156" s="967"/>
      <c r="C156" s="967">
        <v>111</v>
      </c>
      <c r="D156" s="967"/>
      <c r="E156" s="968"/>
      <c r="F156" s="968"/>
      <c r="G156" s="968"/>
      <c r="H156" s="968"/>
      <c r="I156" s="968"/>
      <c r="J156" s="968"/>
      <c r="K156" s="967"/>
      <c r="L156" s="967"/>
      <c r="M156" s="967"/>
      <c r="N156" s="967"/>
      <c r="O156" s="1007"/>
      <c r="P156" s="1007"/>
      <c r="Q156" s="1008"/>
    </row>
    <row r="157" spans="1:17" hidden="1">
      <c r="A157" s="966"/>
      <c r="B157" s="967"/>
      <c r="C157" s="967">
        <v>112</v>
      </c>
      <c r="D157" s="967"/>
      <c r="E157" s="968"/>
      <c r="F157" s="968"/>
      <c r="G157" s="968"/>
      <c r="H157" s="968"/>
      <c r="I157" s="968"/>
      <c r="J157" s="968"/>
      <c r="K157" s="967"/>
      <c r="L157" s="967"/>
      <c r="M157" s="967"/>
      <c r="N157" s="967"/>
      <c r="O157" s="1007"/>
      <c r="P157" s="1007"/>
      <c r="Q157" s="1008"/>
    </row>
    <row r="158" spans="1:17" hidden="1">
      <c r="A158" s="966"/>
      <c r="B158" s="967"/>
      <c r="C158" s="967">
        <v>113</v>
      </c>
      <c r="D158" s="967"/>
      <c r="E158" s="968"/>
      <c r="F158" s="968"/>
      <c r="G158" s="968"/>
      <c r="H158" s="968"/>
      <c r="I158" s="968"/>
      <c r="J158" s="968"/>
      <c r="K158" s="967"/>
      <c r="L158" s="967"/>
      <c r="M158" s="967"/>
      <c r="N158" s="967"/>
      <c r="O158" s="1007"/>
      <c r="P158" s="1007"/>
      <c r="Q158" s="1008"/>
    </row>
    <row r="159" spans="1:17" hidden="1">
      <c r="A159" s="966"/>
      <c r="B159" s="967"/>
      <c r="C159" s="967">
        <v>114</v>
      </c>
      <c r="D159" s="967"/>
      <c r="E159" s="968"/>
      <c r="F159" s="968"/>
      <c r="G159" s="968"/>
      <c r="H159" s="968"/>
      <c r="I159" s="968"/>
      <c r="J159" s="968"/>
      <c r="K159" s="967"/>
      <c r="L159" s="967"/>
      <c r="M159" s="967"/>
      <c r="N159" s="967"/>
      <c r="O159" s="1007"/>
      <c r="P159" s="1007"/>
      <c r="Q159" s="1008"/>
    </row>
    <row r="160" spans="1:17" hidden="1">
      <c r="A160" s="966"/>
      <c r="B160" s="967"/>
      <c r="C160" s="967">
        <v>115</v>
      </c>
      <c r="D160" s="967"/>
      <c r="E160" s="968"/>
      <c r="F160" s="968"/>
      <c r="G160" s="968"/>
      <c r="H160" s="968"/>
      <c r="I160" s="968"/>
      <c r="J160" s="968"/>
      <c r="K160" s="967"/>
      <c r="L160" s="967"/>
      <c r="M160" s="967"/>
      <c r="N160" s="967"/>
      <c r="O160" s="1007"/>
      <c r="P160" s="1007"/>
      <c r="Q160" s="1008"/>
    </row>
    <row r="161" spans="1:17" hidden="1">
      <c r="A161" s="966"/>
      <c r="B161" s="967"/>
      <c r="C161" s="967">
        <v>116</v>
      </c>
      <c r="D161" s="967"/>
      <c r="E161" s="968"/>
      <c r="F161" s="968"/>
      <c r="G161" s="968"/>
      <c r="H161" s="968"/>
      <c r="I161" s="968"/>
      <c r="J161" s="968"/>
      <c r="K161" s="967"/>
      <c r="L161" s="967"/>
      <c r="M161" s="967"/>
      <c r="N161" s="967"/>
      <c r="O161" s="1007"/>
      <c r="P161" s="1007"/>
      <c r="Q161" s="1008"/>
    </row>
    <row r="162" spans="1:17" hidden="1">
      <c r="A162" s="966"/>
      <c r="B162" s="967"/>
      <c r="C162" s="967">
        <v>117</v>
      </c>
      <c r="D162" s="967"/>
      <c r="E162" s="968"/>
      <c r="F162" s="968"/>
      <c r="G162" s="968"/>
      <c r="H162" s="968"/>
      <c r="I162" s="968"/>
      <c r="J162" s="968"/>
      <c r="K162" s="967"/>
      <c r="L162" s="967"/>
      <c r="M162" s="967"/>
      <c r="N162" s="967"/>
      <c r="O162" s="1007"/>
      <c r="P162" s="1007"/>
      <c r="Q162" s="1008"/>
    </row>
    <row r="163" spans="1:17" hidden="1">
      <c r="A163" s="966"/>
      <c r="B163" s="967"/>
      <c r="C163" s="967">
        <v>118</v>
      </c>
      <c r="D163" s="967"/>
      <c r="E163" s="968"/>
      <c r="F163" s="968"/>
      <c r="G163" s="968"/>
      <c r="H163" s="968"/>
      <c r="I163" s="968"/>
      <c r="J163" s="968"/>
      <c r="K163" s="967"/>
      <c r="L163" s="967"/>
      <c r="M163" s="967"/>
      <c r="N163" s="967"/>
      <c r="O163" s="1007"/>
      <c r="P163" s="1007"/>
      <c r="Q163" s="1008"/>
    </row>
    <row r="164" spans="1:17" hidden="1">
      <c r="A164" s="966"/>
      <c r="B164" s="967"/>
      <c r="C164" s="967">
        <v>119</v>
      </c>
      <c r="D164" s="967"/>
      <c r="E164" s="968"/>
      <c r="F164" s="968"/>
      <c r="G164" s="968"/>
      <c r="H164" s="968"/>
      <c r="I164" s="968"/>
      <c r="J164" s="968"/>
      <c r="K164" s="967"/>
      <c r="L164" s="967"/>
      <c r="M164" s="967"/>
      <c r="N164" s="967"/>
      <c r="O164" s="1007"/>
      <c r="P164" s="1007"/>
      <c r="Q164" s="1008"/>
    </row>
    <row r="165" spans="1:17" hidden="1">
      <c r="A165" s="966"/>
      <c r="B165" s="967"/>
      <c r="C165" s="967">
        <v>120</v>
      </c>
      <c r="D165" s="967"/>
      <c r="E165" s="968"/>
      <c r="F165" s="968"/>
      <c r="G165" s="968"/>
      <c r="H165" s="968"/>
      <c r="I165" s="968"/>
      <c r="J165" s="968"/>
      <c r="K165" s="967"/>
      <c r="L165" s="967"/>
      <c r="M165" s="967"/>
      <c r="N165" s="967"/>
      <c r="O165" s="1007"/>
      <c r="P165" s="1007"/>
      <c r="Q165" s="1008"/>
    </row>
    <row r="166" spans="1:17" hidden="1">
      <c r="A166" s="966"/>
      <c r="B166" s="967"/>
      <c r="C166" s="967">
        <v>121</v>
      </c>
      <c r="D166" s="967"/>
      <c r="E166" s="968"/>
      <c r="F166" s="968"/>
      <c r="G166" s="968"/>
      <c r="H166" s="968"/>
      <c r="I166" s="968"/>
      <c r="J166" s="968"/>
      <c r="K166" s="967"/>
      <c r="L166" s="967"/>
      <c r="M166" s="967"/>
      <c r="N166" s="967"/>
      <c r="O166" s="1007"/>
      <c r="P166" s="1007"/>
      <c r="Q166" s="1008"/>
    </row>
    <row r="167" spans="1:17" hidden="1">
      <c r="A167" s="966"/>
      <c r="B167" s="967"/>
      <c r="C167" s="967">
        <v>122</v>
      </c>
      <c r="D167" s="967"/>
      <c r="E167" s="968"/>
      <c r="F167" s="968"/>
      <c r="G167" s="968"/>
      <c r="H167" s="968"/>
      <c r="I167" s="968"/>
      <c r="J167" s="968"/>
      <c r="K167" s="967"/>
      <c r="L167" s="967"/>
      <c r="M167" s="967"/>
      <c r="N167" s="967"/>
      <c r="O167" s="1007"/>
      <c r="P167" s="1007"/>
      <c r="Q167" s="1008"/>
    </row>
    <row r="168" spans="1:17" hidden="1">
      <c r="A168" s="966"/>
      <c r="B168" s="967"/>
      <c r="C168" s="967">
        <v>123</v>
      </c>
      <c r="D168" s="967"/>
      <c r="E168" s="968"/>
      <c r="F168" s="968"/>
      <c r="G168" s="968"/>
      <c r="H168" s="968"/>
      <c r="I168" s="968"/>
      <c r="J168" s="968"/>
      <c r="K168" s="967"/>
      <c r="L168" s="967"/>
      <c r="M168" s="967"/>
      <c r="N168" s="967"/>
      <c r="O168" s="1007"/>
      <c r="P168" s="1007"/>
      <c r="Q168" s="1008"/>
    </row>
    <row r="169" spans="1:17" hidden="1">
      <c r="A169" s="966"/>
      <c r="B169" s="967"/>
      <c r="C169" s="967">
        <v>124</v>
      </c>
      <c r="D169" s="967"/>
      <c r="E169" s="968"/>
      <c r="F169" s="968"/>
      <c r="G169" s="968"/>
      <c r="H169" s="968"/>
      <c r="I169" s="968"/>
      <c r="J169" s="968"/>
      <c r="K169" s="967"/>
      <c r="L169" s="967"/>
      <c r="M169" s="967"/>
      <c r="N169" s="967"/>
      <c r="O169" s="1007"/>
      <c r="P169" s="1007"/>
      <c r="Q169" s="1008"/>
    </row>
    <row r="170" spans="1:17" hidden="1">
      <c r="A170" s="966"/>
      <c r="B170" s="967"/>
      <c r="C170" s="967">
        <v>125</v>
      </c>
      <c r="D170" s="967"/>
      <c r="E170" s="968"/>
      <c r="F170" s="968"/>
      <c r="G170" s="968"/>
      <c r="H170" s="968"/>
      <c r="I170" s="968"/>
      <c r="J170" s="968"/>
      <c r="K170" s="967"/>
      <c r="L170" s="967"/>
      <c r="M170" s="967"/>
      <c r="N170" s="967"/>
      <c r="O170" s="1007"/>
      <c r="P170" s="1007"/>
      <c r="Q170" s="1008"/>
    </row>
    <row r="171" spans="1:17" hidden="1">
      <c r="A171" s="966"/>
      <c r="B171" s="967"/>
      <c r="C171" s="967">
        <v>126</v>
      </c>
      <c r="D171" s="967"/>
      <c r="E171" s="968"/>
      <c r="F171" s="968"/>
      <c r="G171" s="968"/>
      <c r="H171" s="968"/>
      <c r="I171" s="968"/>
      <c r="J171" s="968"/>
      <c r="K171" s="967"/>
      <c r="L171" s="967"/>
      <c r="M171" s="967"/>
      <c r="N171" s="967"/>
      <c r="O171" s="1007"/>
      <c r="P171" s="1007"/>
      <c r="Q171" s="1008"/>
    </row>
    <row r="172" spans="1:17" hidden="1">
      <c r="A172" s="966"/>
      <c r="B172" s="967"/>
      <c r="C172" s="967">
        <v>127</v>
      </c>
      <c r="D172" s="967"/>
      <c r="E172" s="968"/>
      <c r="F172" s="968"/>
      <c r="G172" s="968"/>
      <c r="H172" s="968"/>
      <c r="I172" s="968"/>
      <c r="J172" s="968"/>
      <c r="K172" s="967"/>
      <c r="L172" s="967"/>
      <c r="M172" s="967"/>
      <c r="N172" s="967"/>
      <c r="O172" s="1007"/>
      <c r="P172" s="1007"/>
      <c r="Q172" s="1008"/>
    </row>
    <row r="173" spans="1:17" hidden="1">
      <c r="A173" s="966"/>
      <c r="B173" s="967"/>
      <c r="C173" s="967">
        <v>128</v>
      </c>
      <c r="D173" s="967"/>
      <c r="E173" s="968"/>
      <c r="F173" s="968"/>
      <c r="G173" s="968"/>
      <c r="H173" s="968"/>
      <c r="I173" s="968"/>
      <c r="J173" s="968"/>
      <c r="K173" s="967"/>
      <c r="L173" s="967"/>
      <c r="M173" s="967"/>
      <c r="N173" s="967"/>
      <c r="O173" s="1007"/>
      <c r="P173" s="1007"/>
      <c r="Q173" s="1008"/>
    </row>
    <row r="174" spans="1:17" hidden="1">
      <c r="A174" s="966"/>
      <c r="B174" s="967"/>
      <c r="C174" s="967">
        <v>129</v>
      </c>
      <c r="D174" s="967"/>
      <c r="E174" s="968"/>
      <c r="F174" s="968"/>
      <c r="G174" s="968"/>
      <c r="H174" s="968"/>
      <c r="I174" s="968"/>
      <c r="J174" s="968"/>
      <c r="K174" s="967"/>
      <c r="L174" s="967"/>
      <c r="M174" s="967"/>
      <c r="N174" s="967"/>
      <c r="O174" s="1007"/>
      <c r="P174" s="1007"/>
      <c r="Q174" s="1008"/>
    </row>
    <row r="175" spans="1:17" hidden="1">
      <c r="A175" s="966"/>
      <c r="B175" s="967"/>
      <c r="C175" s="967">
        <v>130</v>
      </c>
      <c r="D175" s="967"/>
      <c r="E175" s="968"/>
      <c r="F175" s="968"/>
      <c r="G175" s="968"/>
      <c r="H175" s="968"/>
      <c r="I175" s="968"/>
      <c r="J175" s="968"/>
      <c r="K175" s="967"/>
      <c r="L175" s="967"/>
      <c r="M175" s="967"/>
      <c r="N175" s="967"/>
      <c r="O175" s="1007"/>
      <c r="P175" s="1007"/>
      <c r="Q175" s="1008"/>
    </row>
    <row r="176" spans="1:17" hidden="1">
      <c r="A176" s="966"/>
      <c r="B176" s="967"/>
      <c r="C176" s="967">
        <v>131</v>
      </c>
      <c r="D176" s="967"/>
      <c r="E176" s="968"/>
      <c r="F176" s="968"/>
      <c r="G176" s="968"/>
      <c r="H176" s="968"/>
      <c r="I176" s="968"/>
      <c r="J176" s="968"/>
      <c r="K176" s="967"/>
      <c r="L176" s="967"/>
      <c r="M176" s="967"/>
      <c r="N176" s="967"/>
      <c r="O176" s="1007"/>
      <c r="P176" s="1007"/>
      <c r="Q176" s="1008"/>
    </row>
    <row r="177" spans="1:17" hidden="1">
      <c r="A177" s="966"/>
      <c r="B177" s="967"/>
      <c r="C177" s="967">
        <v>132</v>
      </c>
      <c r="D177" s="967"/>
      <c r="E177" s="968"/>
      <c r="F177" s="968"/>
      <c r="G177" s="968"/>
      <c r="H177" s="968"/>
      <c r="I177" s="968"/>
      <c r="J177" s="968"/>
      <c r="K177" s="967"/>
      <c r="L177" s="967"/>
      <c r="M177" s="967"/>
      <c r="N177" s="967"/>
      <c r="O177" s="1007"/>
      <c r="P177" s="1007"/>
      <c r="Q177" s="1008"/>
    </row>
    <row r="178" spans="1:17" hidden="1">
      <c r="A178" s="966"/>
      <c r="B178" s="967"/>
      <c r="C178" s="967">
        <v>133</v>
      </c>
      <c r="D178" s="967"/>
      <c r="E178" s="968"/>
      <c r="F178" s="968"/>
      <c r="G178" s="968"/>
      <c r="H178" s="968"/>
      <c r="I178" s="968"/>
      <c r="J178" s="968"/>
      <c r="K178" s="967"/>
      <c r="L178" s="967"/>
      <c r="M178" s="967"/>
      <c r="N178" s="967"/>
      <c r="O178" s="1007"/>
      <c r="P178" s="1007"/>
      <c r="Q178" s="1008"/>
    </row>
    <row r="179" spans="1:17" hidden="1">
      <c r="A179" s="966"/>
      <c r="B179" s="967"/>
      <c r="C179" s="967">
        <v>134</v>
      </c>
      <c r="D179" s="967"/>
      <c r="E179" s="968"/>
      <c r="F179" s="968"/>
      <c r="G179" s="968"/>
      <c r="H179" s="968"/>
      <c r="I179" s="968"/>
      <c r="J179" s="968"/>
      <c r="K179" s="967"/>
      <c r="L179" s="967"/>
      <c r="M179" s="967"/>
      <c r="N179" s="967"/>
      <c r="O179" s="1007"/>
      <c r="P179" s="1007"/>
      <c r="Q179" s="1008"/>
    </row>
    <row r="180" spans="1:17" hidden="1">
      <c r="A180" s="966"/>
      <c r="B180" s="967"/>
      <c r="C180" s="967">
        <v>135</v>
      </c>
      <c r="D180" s="967"/>
      <c r="E180" s="968"/>
      <c r="F180" s="968"/>
      <c r="G180" s="968"/>
      <c r="H180" s="968"/>
      <c r="I180" s="968"/>
      <c r="J180" s="968"/>
      <c r="K180" s="967"/>
      <c r="L180" s="967"/>
      <c r="M180" s="967"/>
      <c r="N180" s="967"/>
      <c r="O180" s="1007"/>
      <c r="P180" s="1007"/>
      <c r="Q180" s="1008"/>
    </row>
    <row r="181" spans="1:17" hidden="1">
      <c r="A181" s="966"/>
      <c r="B181" s="967"/>
      <c r="C181" s="967">
        <v>136</v>
      </c>
      <c r="D181" s="967"/>
      <c r="E181" s="968"/>
      <c r="F181" s="968"/>
      <c r="G181" s="968"/>
      <c r="H181" s="968"/>
      <c r="I181" s="968"/>
      <c r="J181" s="968"/>
      <c r="K181" s="967"/>
      <c r="L181" s="967"/>
      <c r="M181" s="967"/>
      <c r="N181" s="967"/>
      <c r="O181" s="1007"/>
      <c r="P181" s="1007"/>
      <c r="Q181" s="1008"/>
    </row>
    <row r="182" spans="1:17" hidden="1">
      <c r="A182" s="966"/>
      <c r="B182" s="967"/>
      <c r="C182" s="967">
        <v>137</v>
      </c>
      <c r="D182" s="967"/>
      <c r="E182" s="968"/>
      <c r="F182" s="968"/>
      <c r="G182" s="968"/>
      <c r="H182" s="968"/>
      <c r="I182" s="968"/>
      <c r="J182" s="968"/>
      <c r="K182" s="967"/>
      <c r="L182" s="967"/>
      <c r="M182" s="967"/>
      <c r="N182" s="967"/>
      <c r="O182" s="1007"/>
      <c r="P182" s="1007"/>
      <c r="Q182" s="1008"/>
    </row>
    <row r="183" spans="1:17" hidden="1">
      <c r="A183" s="966"/>
      <c r="B183" s="967"/>
      <c r="C183" s="967">
        <v>138</v>
      </c>
      <c r="D183" s="967"/>
      <c r="E183" s="968"/>
      <c r="F183" s="968"/>
      <c r="G183" s="968"/>
      <c r="H183" s="968"/>
      <c r="I183" s="968"/>
      <c r="J183" s="968"/>
      <c r="K183" s="967"/>
      <c r="L183" s="967"/>
      <c r="M183" s="967"/>
      <c r="N183" s="967"/>
      <c r="O183" s="1007"/>
      <c r="P183" s="1007"/>
      <c r="Q183" s="1008"/>
    </row>
    <row r="184" spans="1:17" hidden="1">
      <c r="A184" s="966"/>
      <c r="B184" s="967"/>
      <c r="C184" s="967">
        <v>139</v>
      </c>
      <c r="D184" s="967"/>
      <c r="E184" s="968"/>
      <c r="F184" s="968"/>
      <c r="G184" s="968"/>
      <c r="H184" s="968"/>
      <c r="I184" s="968"/>
      <c r="J184" s="968"/>
      <c r="K184" s="967"/>
      <c r="L184" s="967"/>
      <c r="M184" s="967"/>
      <c r="N184" s="967"/>
      <c r="O184" s="1007"/>
      <c r="P184" s="1007"/>
      <c r="Q184" s="1008"/>
    </row>
    <row r="185" spans="1:17" hidden="1">
      <c r="A185" s="966"/>
      <c r="B185" s="967"/>
      <c r="C185" s="967">
        <v>140</v>
      </c>
      <c r="D185" s="967"/>
      <c r="E185" s="968"/>
      <c r="F185" s="968"/>
      <c r="G185" s="968"/>
      <c r="H185" s="968"/>
      <c r="I185" s="968"/>
      <c r="J185" s="968"/>
      <c r="K185" s="967"/>
      <c r="L185" s="967"/>
      <c r="M185" s="967"/>
      <c r="N185" s="967"/>
      <c r="O185" s="1007"/>
      <c r="P185" s="1007"/>
      <c r="Q185" s="1008"/>
    </row>
    <row r="186" spans="1:17" hidden="1">
      <c r="A186" s="966"/>
      <c r="B186" s="967"/>
      <c r="C186" s="967">
        <v>141</v>
      </c>
      <c r="D186" s="967"/>
      <c r="E186" s="968"/>
      <c r="F186" s="968"/>
      <c r="G186" s="968"/>
      <c r="H186" s="968"/>
      <c r="I186" s="968"/>
      <c r="J186" s="968"/>
      <c r="K186" s="967"/>
      <c r="L186" s="967"/>
      <c r="M186" s="967"/>
      <c r="N186" s="967"/>
      <c r="O186" s="1007"/>
      <c r="P186" s="1007"/>
      <c r="Q186" s="1008"/>
    </row>
    <row r="187" spans="1:17" hidden="1">
      <c r="A187" s="966"/>
      <c r="B187" s="967"/>
      <c r="C187" s="967">
        <v>142</v>
      </c>
      <c r="D187" s="967"/>
      <c r="E187" s="968"/>
      <c r="F187" s="968"/>
      <c r="G187" s="968"/>
      <c r="H187" s="968"/>
      <c r="I187" s="968"/>
      <c r="J187" s="968"/>
      <c r="K187" s="967"/>
      <c r="L187" s="967"/>
      <c r="M187" s="967"/>
      <c r="N187" s="967"/>
      <c r="O187" s="1007"/>
      <c r="P187" s="1007"/>
      <c r="Q187" s="1008"/>
    </row>
    <row r="188" spans="1:17" hidden="1">
      <c r="A188" s="966"/>
      <c r="B188" s="967"/>
      <c r="C188" s="967">
        <v>143</v>
      </c>
      <c r="D188" s="967"/>
      <c r="E188" s="968"/>
      <c r="F188" s="968"/>
      <c r="G188" s="968"/>
      <c r="H188" s="968"/>
      <c r="I188" s="968"/>
      <c r="J188" s="968"/>
      <c r="K188" s="967"/>
      <c r="L188" s="967"/>
      <c r="M188" s="967"/>
      <c r="N188" s="967"/>
      <c r="O188" s="1007"/>
      <c r="P188" s="1007"/>
      <c r="Q188" s="1008"/>
    </row>
    <row r="189" spans="1:17" hidden="1">
      <c r="A189" s="966"/>
      <c r="B189" s="967"/>
      <c r="C189" s="967">
        <v>144</v>
      </c>
      <c r="D189" s="967"/>
      <c r="E189" s="968"/>
      <c r="F189" s="968"/>
      <c r="G189" s="968"/>
      <c r="H189" s="968"/>
      <c r="I189" s="968"/>
      <c r="J189" s="968"/>
      <c r="K189" s="967"/>
      <c r="L189" s="967"/>
      <c r="M189" s="967"/>
      <c r="N189" s="967"/>
      <c r="O189" s="1007"/>
      <c r="P189" s="1007"/>
      <c r="Q189" s="1008"/>
    </row>
    <row r="190" spans="1:17" hidden="1">
      <c r="A190" s="966"/>
      <c r="B190" s="967"/>
      <c r="C190" s="967">
        <v>145</v>
      </c>
      <c r="D190" s="967"/>
      <c r="E190" s="968"/>
      <c r="F190" s="968"/>
      <c r="G190" s="968"/>
      <c r="H190" s="968"/>
      <c r="I190" s="968"/>
      <c r="J190" s="968"/>
      <c r="K190" s="967"/>
      <c r="L190" s="967"/>
      <c r="M190" s="967"/>
      <c r="N190" s="967"/>
      <c r="O190" s="1007"/>
      <c r="P190" s="1007"/>
      <c r="Q190" s="1008"/>
    </row>
    <row r="191" spans="1:17" hidden="1">
      <c r="A191" s="966"/>
      <c r="B191" s="967"/>
      <c r="C191" s="967">
        <v>146</v>
      </c>
      <c r="D191" s="967"/>
      <c r="E191" s="968"/>
      <c r="F191" s="968"/>
      <c r="G191" s="968"/>
      <c r="H191" s="968"/>
      <c r="I191" s="968"/>
      <c r="J191" s="968"/>
      <c r="K191" s="967"/>
      <c r="L191" s="967"/>
      <c r="M191" s="967"/>
      <c r="N191" s="967"/>
      <c r="O191" s="1007"/>
      <c r="P191" s="1007"/>
      <c r="Q191" s="1008"/>
    </row>
    <row r="192" spans="1:17" hidden="1">
      <c r="A192" s="966"/>
      <c r="B192" s="967"/>
      <c r="C192" s="967">
        <v>147</v>
      </c>
      <c r="D192" s="967"/>
      <c r="E192" s="968"/>
      <c r="F192" s="968"/>
      <c r="G192" s="968"/>
      <c r="H192" s="968"/>
      <c r="I192" s="968"/>
      <c r="J192" s="968"/>
      <c r="K192" s="967"/>
      <c r="L192" s="967"/>
      <c r="M192" s="967"/>
      <c r="N192" s="967"/>
      <c r="O192" s="1007"/>
      <c r="P192" s="1007"/>
      <c r="Q192" s="1008"/>
    </row>
    <row r="193" spans="1:17" hidden="1">
      <c r="A193" s="966"/>
      <c r="B193" s="967"/>
      <c r="C193" s="967">
        <v>148</v>
      </c>
      <c r="D193" s="967"/>
      <c r="E193" s="968"/>
      <c r="F193" s="968"/>
      <c r="G193" s="968"/>
      <c r="H193" s="968"/>
      <c r="I193" s="968"/>
      <c r="J193" s="968"/>
      <c r="K193" s="967"/>
      <c r="L193" s="967"/>
      <c r="M193" s="967"/>
      <c r="N193" s="967"/>
      <c r="O193" s="1007"/>
      <c r="P193" s="1007"/>
      <c r="Q193" s="1008"/>
    </row>
    <row r="194" spans="1:17" hidden="1">
      <c r="A194" s="966"/>
      <c r="B194" s="967"/>
      <c r="C194" s="967">
        <v>149</v>
      </c>
      <c r="D194" s="967"/>
      <c r="E194" s="968"/>
      <c r="F194" s="968"/>
      <c r="G194" s="968"/>
      <c r="H194" s="968"/>
      <c r="I194" s="968"/>
      <c r="J194" s="968"/>
      <c r="K194" s="967"/>
      <c r="L194" s="967"/>
      <c r="M194" s="967"/>
      <c r="N194" s="967"/>
      <c r="O194" s="1007"/>
      <c r="P194" s="1007"/>
      <c r="Q194" s="1008"/>
    </row>
    <row r="195" spans="1:17" hidden="1">
      <c r="A195" s="966"/>
      <c r="B195" s="967"/>
      <c r="C195" s="967">
        <v>150</v>
      </c>
      <c r="D195" s="967"/>
      <c r="E195" s="968"/>
      <c r="F195" s="968"/>
      <c r="G195" s="968"/>
      <c r="H195" s="968"/>
      <c r="I195" s="968"/>
      <c r="J195" s="968"/>
      <c r="K195" s="967"/>
      <c r="L195" s="967"/>
      <c r="M195" s="967"/>
      <c r="N195" s="967"/>
      <c r="O195" s="1007"/>
      <c r="P195" s="1007"/>
      <c r="Q195" s="1008"/>
    </row>
    <row r="196" spans="1:17" hidden="1">
      <c r="A196" s="966"/>
      <c r="B196" s="967"/>
      <c r="C196" s="967">
        <v>151</v>
      </c>
      <c r="D196" s="967"/>
      <c r="E196" s="968"/>
      <c r="F196" s="968"/>
      <c r="G196" s="968"/>
      <c r="H196" s="968"/>
      <c r="I196" s="968"/>
      <c r="J196" s="968"/>
      <c r="K196" s="967"/>
      <c r="L196" s="967"/>
      <c r="M196" s="967"/>
      <c r="N196" s="967"/>
      <c r="O196" s="1007"/>
      <c r="P196" s="1007"/>
      <c r="Q196" s="1008"/>
    </row>
    <row r="197" spans="1:17" hidden="1">
      <c r="A197" s="966"/>
      <c r="B197" s="967"/>
      <c r="C197" s="967">
        <v>152</v>
      </c>
      <c r="D197" s="967"/>
      <c r="E197" s="968"/>
      <c r="F197" s="968"/>
      <c r="G197" s="968"/>
      <c r="H197" s="968"/>
      <c r="I197" s="968"/>
      <c r="J197" s="968"/>
      <c r="K197" s="967"/>
      <c r="L197" s="967"/>
      <c r="M197" s="967"/>
      <c r="N197" s="967"/>
      <c r="O197" s="1007"/>
      <c r="P197" s="1007"/>
      <c r="Q197" s="1008"/>
    </row>
    <row r="198" spans="1:17" hidden="1">
      <c r="A198" s="966"/>
      <c r="B198" s="967"/>
      <c r="C198" s="967">
        <v>153</v>
      </c>
      <c r="D198" s="967"/>
      <c r="E198" s="968"/>
      <c r="F198" s="968"/>
      <c r="G198" s="968"/>
      <c r="H198" s="968"/>
      <c r="I198" s="968"/>
      <c r="J198" s="968"/>
      <c r="K198" s="967"/>
      <c r="L198" s="967"/>
      <c r="M198" s="967"/>
      <c r="N198" s="967"/>
      <c r="O198" s="1007"/>
      <c r="P198" s="1007"/>
      <c r="Q198" s="1008"/>
    </row>
    <row r="199" spans="1:17" hidden="1">
      <c r="A199" s="966"/>
      <c r="B199" s="967"/>
      <c r="C199" s="967">
        <v>154</v>
      </c>
      <c r="D199" s="967"/>
      <c r="E199" s="968"/>
      <c r="F199" s="968"/>
      <c r="G199" s="968"/>
      <c r="H199" s="968"/>
      <c r="I199" s="968"/>
      <c r="J199" s="968"/>
      <c r="K199" s="967"/>
      <c r="L199" s="967"/>
      <c r="M199" s="967"/>
      <c r="N199" s="967"/>
      <c r="O199" s="1007"/>
      <c r="P199" s="1007"/>
      <c r="Q199" s="1008"/>
    </row>
    <row r="200" spans="1:17" hidden="1">
      <c r="A200" s="966"/>
      <c r="B200" s="967"/>
      <c r="C200" s="967">
        <v>155</v>
      </c>
      <c r="D200" s="967"/>
      <c r="E200" s="968"/>
      <c r="F200" s="968"/>
      <c r="G200" s="968"/>
      <c r="H200" s="968"/>
      <c r="I200" s="968"/>
      <c r="J200" s="968"/>
      <c r="K200" s="967"/>
      <c r="L200" s="967"/>
      <c r="M200" s="967"/>
      <c r="N200" s="967"/>
      <c r="O200" s="1007"/>
      <c r="P200" s="1007"/>
      <c r="Q200" s="1008"/>
    </row>
    <row r="201" spans="1:17" hidden="1">
      <c r="A201" s="966"/>
      <c r="B201" s="967"/>
      <c r="C201" s="967">
        <v>156</v>
      </c>
      <c r="D201" s="967"/>
      <c r="E201" s="968"/>
      <c r="F201" s="968"/>
      <c r="G201" s="968"/>
      <c r="H201" s="968"/>
      <c r="I201" s="968"/>
      <c r="J201" s="968"/>
      <c r="K201" s="967"/>
      <c r="L201" s="967"/>
      <c r="M201" s="967"/>
      <c r="N201" s="967"/>
      <c r="O201" s="1007"/>
      <c r="P201" s="1007"/>
      <c r="Q201" s="1008"/>
    </row>
    <row r="202" spans="1:17" hidden="1">
      <c r="A202" s="966"/>
      <c r="B202" s="967"/>
      <c r="C202" s="967">
        <v>157</v>
      </c>
      <c r="D202" s="967"/>
      <c r="E202" s="968"/>
      <c r="F202" s="968"/>
      <c r="G202" s="968"/>
      <c r="H202" s="968"/>
      <c r="I202" s="968"/>
      <c r="J202" s="968"/>
      <c r="K202" s="967"/>
      <c r="L202" s="967"/>
      <c r="M202" s="967"/>
      <c r="N202" s="967"/>
      <c r="O202" s="1007"/>
      <c r="P202" s="1007"/>
      <c r="Q202" s="1008"/>
    </row>
    <row r="203" spans="1:17" hidden="1">
      <c r="A203" s="966"/>
      <c r="B203" s="967"/>
      <c r="C203" s="967">
        <v>158</v>
      </c>
      <c r="D203" s="967"/>
      <c r="E203" s="968"/>
      <c r="F203" s="968"/>
      <c r="G203" s="968"/>
      <c r="H203" s="968"/>
      <c r="I203" s="968"/>
      <c r="J203" s="968"/>
      <c r="K203" s="967"/>
      <c r="L203" s="967"/>
      <c r="M203" s="967"/>
      <c r="N203" s="967"/>
      <c r="O203" s="1007"/>
      <c r="P203" s="1007"/>
      <c r="Q203" s="1008"/>
    </row>
    <row r="204" spans="1:17" hidden="1">
      <c r="A204" s="966"/>
      <c r="B204" s="967"/>
      <c r="C204" s="967">
        <v>159</v>
      </c>
      <c r="D204" s="967"/>
      <c r="E204" s="968"/>
      <c r="F204" s="968"/>
      <c r="G204" s="968"/>
      <c r="H204" s="968"/>
      <c r="I204" s="968"/>
      <c r="J204" s="968"/>
      <c r="K204" s="967"/>
      <c r="L204" s="967"/>
      <c r="M204" s="967"/>
      <c r="N204" s="967"/>
      <c r="O204" s="1007"/>
      <c r="P204" s="1007"/>
      <c r="Q204" s="1008"/>
    </row>
    <row r="205" spans="1:17" hidden="1">
      <c r="A205" s="966"/>
      <c r="B205" s="967"/>
      <c r="C205" s="967">
        <v>160</v>
      </c>
      <c r="D205" s="967"/>
      <c r="E205" s="968"/>
      <c r="F205" s="968"/>
      <c r="G205" s="968"/>
      <c r="H205" s="968"/>
      <c r="I205" s="968"/>
      <c r="J205" s="968"/>
      <c r="K205" s="967"/>
      <c r="L205" s="967"/>
      <c r="M205" s="967"/>
      <c r="N205" s="967"/>
      <c r="O205" s="1007"/>
      <c r="P205" s="1007"/>
      <c r="Q205" s="1008"/>
    </row>
    <row r="206" spans="1:17" hidden="1">
      <c r="A206" s="966"/>
      <c r="B206" s="967"/>
      <c r="C206" s="967">
        <v>161</v>
      </c>
      <c r="D206" s="967"/>
      <c r="E206" s="968"/>
      <c r="F206" s="968"/>
      <c r="G206" s="968"/>
      <c r="H206" s="968"/>
      <c r="I206" s="968"/>
      <c r="J206" s="968"/>
      <c r="K206" s="967"/>
      <c r="L206" s="967"/>
      <c r="M206" s="967"/>
      <c r="N206" s="967"/>
      <c r="O206" s="1007"/>
      <c r="P206" s="1007"/>
      <c r="Q206" s="1008"/>
    </row>
    <row r="207" spans="1:17" hidden="1">
      <c r="A207" s="966"/>
      <c r="B207" s="967"/>
      <c r="C207" s="967">
        <v>162</v>
      </c>
      <c r="D207" s="967"/>
      <c r="E207" s="968"/>
      <c r="F207" s="968"/>
      <c r="G207" s="968"/>
      <c r="H207" s="968"/>
      <c r="I207" s="968"/>
      <c r="J207" s="968"/>
      <c r="K207" s="967"/>
      <c r="L207" s="967"/>
      <c r="M207" s="967"/>
      <c r="N207" s="967"/>
      <c r="O207" s="1007"/>
      <c r="P207" s="1007"/>
      <c r="Q207" s="1008"/>
    </row>
    <row r="208" spans="1:17" hidden="1">
      <c r="A208" s="966"/>
      <c r="B208" s="967"/>
      <c r="C208" s="967">
        <v>163</v>
      </c>
      <c r="D208" s="967"/>
      <c r="E208" s="968"/>
      <c r="F208" s="968"/>
      <c r="G208" s="968"/>
      <c r="H208" s="968"/>
      <c r="I208" s="968"/>
      <c r="J208" s="968"/>
      <c r="K208" s="967"/>
      <c r="L208" s="967"/>
      <c r="M208" s="967"/>
      <c r="N208" s="967"/>
      <c r="O208" s="1007"/>
      <c r="P208" s="1007"/>
      <c r="Q208" s="1008"/>
    </row>
    <row r="209" spans="1:17" hidden="1">
      <c r="A209" s="966"/>
      <c r="B209" s="967"/>
      <c r="C209" s="967">
        <v>164</v>
      </c>
      <c r="D209" s="967"/>
      <c r="E209" s="968"/>
      <c r="F209" s="968"/>
      <c r="G209" s="968"/>
      <c r="H209" s="968"/>
      <c r="I209" s="968"/>
      <c r="J209" s="968"/>
      <c r="K209" s="967"/>
      <c r="L209" s="967"/>
      <c r="M209" s="967"/>
      <c r="N209" s="967"/>
      <c r="O209" s="1007"/>
      <c r="P209" s="1007"/>
      <c r="Q209" s="1008"/>
    </row>
    <row r="210" spans="1:17" hidden="1">
      <c r="A210" s="966"/>
      <c r="B210" s="967"/>
      <c r="C210" s="967">
        <v>165</v>
      </c>
      <c r="D210" s="967"/>
      <c r="E210" s="968"/>
      <c r="F210" s="968"/>
      <c r="G210" s="968"/>
      <c r="H210" s="968"/>
      <c r="I210" s="968"/>
      <c r="J210" s="968"/>
      <c r="K210" s="967"/>
      <c r="L210" s="967"/>
      <c r="M210" s="967"/>
      <c r="N210" s="967"/>
      <c r="O210" s="1007"/>
      <c r="P210" s="1007"/>
      <c r="Q210" s="1008"/>
    </row>
    <row r="211" spans="1:17" hidden="1">
      <c r="A211" s="966"/>
      <c r="B211" s="967"/>
      <c r="C211" s="967">
        <v>166</v>
      </c>
      <c r="D211" s="967"/>
      <c r="E211" s="968"/>
      <c r="F211" s="968"/>
      <c r="G211" s="968"/>
      <c r="H211" s="968"/>
      <c r="I211" s="968"/>
      <c r="J211" s="968"/>
      <c r="K211" s="967"/>
      <c r="L211" s="967"/>
      <c r="M211" s="967"/>
      <c r="N211" s="967"/>
      <c r="O211" s="1007"/>
      <c r="P211" s="1007"/>
      <c r="Q211" s="1008"/>
    </row>
    <row r="212" spans="1:17" hidden="1">
      <c r="A212" s="966"/>
      <c r="B212" s="967"/>
      <c r="C212" s="967">
        <v>167</v>
      </c>
      <c r="D212" s="967"/>
      <c r="E212" s="968"/>
      <c r="F212" s="968"/>
      <c r="G212" s="968"/>
      <c r="H212" s="968"/>
      <c r="I212" s="968"/>
      <c r="J212" s="968"/>
      <c r="K212" s="967"/>
      <c r="L212" s="967"/>
      <c r="M212" s="967"/>
      <c r="N212" s="967"/>
      <c r="O212" s="1007"/>
      <c r="P212" s="1007"/>
      <c r="Q212" s="1008"/>
    </row>
    <row r="213" spans="1:17" hidden="1">
      <c r="A213" s="966"/>
      <c r="B213" s="967"/>
      <c r="C213" s="967">
        <v>168</v>
      </c>
      <c r="D213" s="967"/>
      <c r="E213" s="968"/>
      <c r="F213" s="968"/>
      <c r="G213" s="968"/>
      <c r="H213" s="968"/>
      <c r="I213" s="968"/>
      <c r="J213" s="968"/>
      <c r="K213" s="967"/>
      <c r="L213" s="967"/>
      <c r="M213" s="967"/>
      <c r="N213" s="967"/>
      <c r="O213" s="1007"/>
      <c r="P213" s="1007"/>
      <c r="Q213" s="1008"/>
    </row>
    <row r="214" spans="1:17" hidden="1">
      <c r="A214" s="966"/>
      <c r="B214" s="967"/>
      <c r="C214" s="967">
        <v>169</v>
      </c>
      <c r="D214" s="967"/>
      <c r="E214" s="968"/>
      <c r="F214" s="968"/>
      <c r="G214" s="968"/>
      <c r="H214" s="968"/>
      <c r="I214" s="968"/>
      <c r="J214" s="968"/>
      <c r="K214" s="967"/>
      <c r="L214" s="967"/>
      <c r="M214" s="967"/>
      <c r="N214" s="967"/>
      <c r="O214" s="1007"/>
      <c r="P214" s="1007"/>
      <c r="Q214" s="1008"/>
    </row>
    <row r="215" spans="1:17" hidden="1">
      <c r="A215" s="966"/>
      <c r="B215" s="967"/>
      <c r="C215" s="967">
        <v>170</v>
      </c>
      <c r="D215" s="967"/>
      <c r="E215" s="968"/>
      <c r="F215" s="968"/>
      <c r="G215" s="968"/>
      <c r="H215" s="968"/>
      <c r="I215" s="968"/>
      <c r="J215" s="968"/>
      <c r="K215" s="967"/>
      <c r="L215" s="967"/>
      <c r="M215" s="967"/>
      <c r="N215" s="967"/>
      <c r="O215" s="1007"/>
      <c r="P215" s="1007"/>
      <c r="Q215" s="1008"/>
    </row>
    <row r="216" spans="1:17" hidden="1">
      <c r="A216" s="966"/>
      <c r="B216" s="967"/>
      <c r="C216" s="967">
        <v>171</v>
      </c>
      <c r="D216" s="967"/>
      <c r="E216" s="968"/>
      <c r="F216" s="968"/>
      <c r="G216" s="968"/>
      <c r="H216" s="968"/>
      <c r="I216" s="968"/>
      <c r="J216" s="968"/>
      <c r="K216" s="967"/>
      <c r="L216" s="967"/>
      <c r="M216" s="967"/>
      <c r="N216" s="967"/>
      <c r="O216" s="1007"/>
      <c r="P216" s="1007"/>
      <c r="Q216" s="1008"/>
    </row>
    <row r="217" spans="1:17" hidden="1">
      <c r="A217" s="966"/>
      <c r="B217" s="967"/>
      <c r="C217" s="967">
        <v>172</v>
      </c>
      <c r="D217" s="967"/>
      <c r="E217" s="968"/>
      <c r="F217" s="968"/>
      <c r="G217" s="968"/>
      <c r="H217" s="968"/>
      <c r="I217" s="968"/>
      <c r="J217" s="968"/>
      <c r="K217" s="967"/>
      <c r="L217" s="967"/>
      <c r="M217" s="967"/>
      <c r="N217" s="967"/>
      <c r="O217" s="1007"/>
      <c r="P217" s="1007"/>
      <c r="Q217" s="1008"/>
    </row>
    <row r="218" spans="1:17" hidden="1">
      <c r="A218" s="966"/>
      <c r="B218" s="967"/>
      <c r="C218" s="967">
        <v>173</v>
      </c>
      <c r="D218" s="967"/>
      <c r="E218" s="968"/>
      <c r="F218" s="968"/>
      <c r="G218" s="968"/>
      <c r="H218" s="968"/>
      <c r="I218" s="968"/>
      <c r="J218" s="968"/>
      <c r="K218" s="967"/>
      <c r="L218" s="967"/>
      <c r="M218" s="967"/>
      <c r="N218" s="967"/>
      <c r="O218" s="1007"/>
      <c r="P218" s="1007"/>
      <c r="Q218" s="1008"/>
    </row>
    <row r="219" spans="1:17" hidden="1">
      <c r="A219" s="966"/>
      <c r="B219" s="967"/>
      <c r="C219" s="967">
        <v>174</v>
      </c>
      <c r="D219" s="967"/>
      <c r="E219" s="968"/>
      <c r="F219" s="968"/>
      <c r="G219" s="968"/>
      <c r="H219" s="968"/>
      <c r="I219" s="968"/>
      <c r="J219" s="968"/>
      <c r="K219" s="967"/>
      <c r="L219" s="967"/>
      <c r="M219" s="967"/>
      <c r="N219" s="967"/>
      <c r="O219" s="1007"/>
      <c r="P219" s="1007"/>
      <c r="Q219" s="1008"/>
    </row>
    <row r="220" spans="1:17" hidden="1">
      <c r="A220" s="966"/>
      <c r="B220" s="967"/>
      <c r="C220" s="967">
        <v>175</v>
      </c>
      <c r="D220" s="967"/>
      <c r="E220" s="968"/>
      <c r="F220" s="968"/>
      <c r="G220" s="968"/>
      <c r="H220" s="968"/>
      <c r="I220" s="968"/>
      <c r="J220" s="968"/>
      <c r="K220" s="967"/>
      <c r="L220" s="967"/>
      <c r="M220" s="967"/>
      <c r="N220" s="967"/>
      <c r="O220" s="1007"/>
      <c r="P220" s="1007"/>
      <c r="Q220" s="1008"/>
    </row>
    <row r="221" spans="1:17" hidden="1">
      <c r="A221" s="966"/>
      <c r="B221" s="967"/>
      <c r="C221" s="967">
        <v>176</v>
      </c>
      <c r="D221" s="967"/>
      <c r="E221" s="968"/>
      <c r="F221" s="968"/>
      <c r="G221" s="968"/>
      <c r="H221" s="968"/>
      <c r="I221" s="968"/>
      <c r="J221" s="968"/>
      <c r="K221" s="967"/>
      <c r="L221" s="967"/>
      <c r="M221" s="967"/>
      <c r="N221" s="967"/>
      <c r="O221" s="1007"/>
      <c r="P221" s="1007"/>
      <c r="Q221" s="1008"/>
    </row>
    <row r="222" spans="1:17" hidden="1">
      <c r="A222" s="966"/>
      <c r="B222" s="967"/>
      <c r="C222" s="967">
        <v>177</v>
      </c>
      <c r="D222" s="967"/>
      <c r="E222" s="968"/>
      <c r="F222" s="968"/>
      <c r="G222" s="968"/>
      <c r="H222" s="968"/>
      <c r="I222" s="968"/>
      <c r="J222" s="968"/>
      <c r="K222" s="967"/>
      <c r="L222" s="967"/>
      <c r="M222" s="967"/>
      <c r="N222" s="967"/>
      <c r="O222" s="1007"/>
      <c r="P222" s="1007"/>
      <c r="Q222" s="1008"/>
    </row>
    <row r="223" spans="1:17" hidden="1">
      <c r="A223" s="966"/>
      <c r="B223" s="967"/>
      <c r="C223" s="967">
        <v>178</v>
      </c>
      <c r="D223" s="967"/>
      <c r="E223" s="968"/>
      <c r="F223" s="968"/>
      <c r="G223" s="968"/>
      <c r="H223" s="968"/>
      <c r="I223" s="968"/>
      <c r="J223" s="968"/>
      <c r="K223" s="967"/>
      <c r="L223" s="967"/>
      <c r="M223" s="967"/>
      <c r="N223" s="967"/>
      <c r="O223" s="1007"/>
      <c r="P223" s="1007"/>
      <c r="Q223" s="1008"/>
    </row>
    <row r="224" spans="1:17" hidden="1">
      <c r="A224" s="966"/>
      <c r="B224" s="967"/>
      <c r="C224" s="967">
        <v>179</v>
      </c>
      <c r="D224" s="967"/>
      <c r="E224" s="968"/>
      <c r="F224" s="968"/>
      <c r="G224" s="968"/>
      <c r="H224" s="968"/>
      <c r="I224" s="968"/>
      <c r="J224" s="968"/>
      <c r="K224" s="967"/>
      <c r="L224" s="967"/>
      <c r="M224" s="967"/>
      <c r="N224" s="967"/>
      <c r="O224" s="1007"/>
      <c r="P224" s="1007"/>
      <c r="Q224" s="1008"/>
    </row>
    <row r="225" spans="1:17" hidden="1">
      <c r="A225" s="966"/>
      <c r="B225" s="967"/>
      <c r="C225" s="967">
        <v>180</v>
      </c>
      <c r="D225" s="967"/>
      <c r="E225" s="968"/>
      <c r="F225" s="968"/>
      <c r="G225" s="968"/>
      <c r="H225" s="968"/>
      <c r="I225" s="968"/>
      <c r="J225" s="968"/>
      <c r="K225" s="967"/>
      <c r="L225" s="967"/>
      <c r="M225" s="967"/>
      <c r="N225" s="967"/>
      <c r="O225" s="1007"/>
      <c r="P225" s="1007"/>
      <c r="Q225" s="1008"/>
    </row>
    <row r="226" spans="1:17" hidden="1">
      <c r="A226" s="966"/>
      <c r="B226" s="967"/>
      <c r="C226" s="967">
        <v>181</v>
      </c>
      <c r="D226" s="967"/>
      <c r="E226" s="968"/>
      <c r="F226" s="968"/>
      <c r="G226" s="968"/>
      <c r="H226" s="968"/>
      <c r="I226" s="968"/>
      <c r="J226" s="968"/>
      <c r="K226" s="967"/>
      <c r="L226" s="967"/>
      <c r="M226" s="967"/>
      <c r="N226" s="967"/>
      <c r="O226" s="1007"/>
      <c r="P226" s="1007"/>
      <c r="Q226" s="1008"/>
    </row>
    <row r="227" spans="1:17" hidden="1">
      <c r="A227" s="966"/>
      <c r="B227" s="967"/>
      <c r="C227" s="967">
        <v>182</v>
      </c>
      <c r="D227" s="967"/>
      <c r="E227" s="968"/>
      <c r="F227" s="968"/>
      <c r="G227" s="968"/>
      <c r="H227" s="968"/>
      <c r="I227" s="968"/>
      <c r="J227" s="968"/>
      <c r="K227" s="967"/>
      <c r="L227" s="967"/>
      <c r="M227" s="967"/>
      <c r="N227" s="967"/>
      <c r="O227" s="1007"/>
      <c r="P227" s="1007"/>
      <c r="Q227" s="1008"/>
    </row>
    <row r="228" spans="1:17" hidden="1">
      <c r="A228" s="966"/>
      <c r="B228" s="967"/>
      <c r="C228" s="967">
        <v>183</v>
      </c>
      <c r="D228" s="967"/>
      <c r="E228" s="968"/>
      <c r="F228" s="968"/>
      <c r="G228" s="968"/>
      <c r="H228" s="968"/>
      <c r="I228" s="968"/>
      <c r="J228" s="968"/>
      <c r="K228" s="967"/>
      <c r="L228" s="967"/>
      <c r="M228" s="967"/>
      <c r="N228" s="967"/>
      <c r="O228" s="1007"/>
      <c r="P228" s="1007"/>
      <c r="Q228" s="1008"/>
    </row>
    <row r="229" spans="1:17" hidden="1">
      <c r="A229" s="966"/>
      <c r="B229" s="967"/>
      <c r="C229" s="967">
        <v>184</v>
      </c>
      <c r="D229" s="967"/>
      <c r="E229" s="968"/>
      <c r="F229" s="968"/>
      <c r="G229" s="968"/>
      <c r="H229" s="968"/>
      <c r="I229" s="968"/>
      <c r="J229" s="968"/>
      <c r="K229" s="967"/>
      <c r="L229" s="967"/>
      <c r="M229" s="967"/>
      <c r="N229" s="967"/>
      <c r="O229" s="1007"/>
      <c r="P229" s="1007"/>
      <c r="Q229" s="1008"/>
    </row>
    <row r="230" spans="1:17" hidden="1">
      <c r="A230" s="966"/>
      <c r="B230" s="967"/>
      <c r="C230" s="967">
        <v>185</v>
      </c>
      <c r="D230" s="967"/>
      <c r="E230" s="968"/>
      <c r="F230" s="968"/>
      <c r="G230" s="968"/>
      <c r="H230" s="968"/>
      <c r="I230" s="968"/>
      <c r="J230" s="968"/>
      <c r="K230" s="967"/>
      <c r="L230" s="967"/>
      <c r="M230" s="967"/>
      <c r="N230" s="967"/>
      <c r="O230" s="1007"/>
      <c r="P230" s="1007"/>
      <c r="Q230" s="1008"/>
    </row>
    <row r="231" spans="1:17" hidden="1">
      <c r="A231" s="966"/>
      <c r="B231" s="967"/>
      <c r="C231" s="967">
        <v>186</v>
      </c>
      <c r="D231" s="967"/>
      <c r="E231" s="968"/>
      <c r="F231" s="968"/>
      <c r="G231" s="968"/>
      <c r="H231" s="968"/>
      <c r="I231" s="968"/>
      <c r="J231" s="968"/>
      <c r="K231" s="967"/>
      <c r="L231" s="967"/>
      <c r="M231" s="967"/>
      <c r="N231" s="967"/>
      <c r="O231" s="1007"/>
      <c r="P231" s="1007"/>
      <c r="Q231" s="1008"/>
    </row>
    <row r="232" spans="1:17" hidden="1">
      <c r="A232" s="966"/>
      <c r="B232" s="967"/>
      <c r="C232" s="967">
        <v>187</v>
      </c>
      <c r="D232" s="967"/>
      <c r="E232" s="968"/>
      <c r="F232" s="968"/>
      <c r="G232" s="968"/>
      <c r="H232" s="968"/>
      <c r="I232" s="968"/>
      <c r="J232" s="968"/>
      <c r="K232" s="967"/>
      <c r="L232" s="967"/>
      <c r="M232" s="967"/>
      <c r="N232" s="967"/>
      <c r="O232" s="1007"/>
      <c r="P232" s="1007"/>
      <c r="Q232" s="1008"/>
    </row>
    <row r="233" spans="1:17" hidden="1">
      <c r="A233" s="966"/>
      <c r="B233" s="967"/>
      <c r="C233" s="967">
        <v>188</v>
      </c>
      <c r="D233" s="967"/>
      <c r="E233" s="968"/>
      <c r="F233" s="968"/>
      <c r="G233" s="968"/>
      <c r="H233" s="968"/>
      <c r="I233" s="968"/>
      <c r="J233" s="968"/>
      <c r="K233" s="967"/>
      <c r="L233" s="967"/>
      <c r="M233" s="967"/>
      <c r="N233" s="967"/>
      <c r="O233" s="1007"/>
      <c r="P233" s="1007"/>
      <c r="Q233" s="1008"/>
    </row>
    <row r="234" spans="1:17" hidden="1">
      <c r="A234" s="966"/>
      <c r="B234" s="967"/>
      <c r="C234" s="967">
        <v>189</v>
      </c>
      <c r="D234" s="967"/>
      <c r="E234" s="968"/>
      <c r="F234" s="968"/>
      <c r="G234" s="968"/>
      <c r="H234" s="968"/>
      <c r="I234" s="968"/>
      <c r="J234" s="968"/>
      <c r="K234" s="967"/>
      <c r="L234" s="967"/>
      <c r="M234" s="967"/>
      <c r="N234" s="967"/>
      <c r="O234" s="1007"/>
      <c r="P234" s="1007"/>
      <c r="Q234" s="1008"/>
    </row>
    <row r="235" spans="1:17" hidden="1">
      <c r="A235" s="966"/>
      <c r="B235" s="967"/>
      <c r="C235" s="967">
        <v>190</v>
      </c>
      <c r="D235" s="967"/>
      <c r="E235" s="968"/>
      <c r="F235" s="968"/>
      <c r="G235" s="968"/>
      <c r="H235" s="968"/>
      <c r="I235" s="968"/>
      <c r="J235" s="968"/>
      <c r="K235" s="967"/>
      <c r="L235" s="967"/>
      <c r="M235" s="967"/>
      <c r="N235" s="967"/>
      <c r="O235" s="1007"/>
      <c r="P235" s="1007"/>
      <c r="Q235" s="1008"/>
    </row>
    <row r="236" spans="1:17" hidden="1">
      <c r="A236" s="966"/>
      <c r="B236" s="967"/>
      <c r="C236" s="967">
        <v>191</v>
      </c>
      <c r="D236" s="967"/>
      <c r="E236" s="968"/>
      <c r="F236" s="968"/>
      <c r="G236" s="968"/>
      <c r="H236" s="968"/>
      <c r="I236" s="968"/>
      <c r="J236" s="968"/>
      <c r="K236" s="967"/>
      <c r="L236" s="967"/>
      <c r="M236" s="967"/>
      <c r="N236" s="967"/>
      <c r="O236" s="1007"/>
      <c r="P236" s="1007"/>
      <c r="Q236" s="1008"/>
    </row>
    <row r="237" spans="1:17" hidden="1">
      <c r="A237" s="966"/>
      <c r="B237" s="967"/>
      <c r="C237" s="967">
        <v>192</v>
      </c>
      <c r="D237" s="967"/>
      <c r="E237" s="968"/>
      <c r="F237" s="968"/>
      <c r="G237" s="968"/>
      <c r="H237" s="968"/>
      <c r="I237" s="968"/>
      <c r="J237" s="968"/>
      <c r="K237" s="967"/>
      <c r="L237" s="967"/>
      <c r="M237" s="967"/>
      <c r="N237" s="967"/>
      <c r="O237" s="1007"/>
      <c r="P237" s="1007"/>
      <c r="Q237" s="1008"/>
    </row>
    <row r="238" spans="1:17" hidden="1">
      <c r="A238" s="966"/>
      <c r="B238" s="967"/>
      <c r="C238" s="967">
        <v>193</v>
      </c>
      <c r="D238" s="967"/>
      <c r="E238" s="968"/>
      <c r="F238" s="968"/>
      <c r="G238" s="968"/>
      <c r="H238" s="968"/>
      <c r="I238" s="968"/>
      <c r="J238" s="968"/>
      <c r="K238" s="967"/>
      <c r="L238" s="967"/>
      <c r="M238" s="967"/>
      <c r="N238" s="967"/>
      <c r="O238" s="1007"/>
      <c r="P238" s="1007"/>
      <c r="Q238" s="1008"/>
    </row>
    <row r="239" spans="1:17" hidden="1">
      <c r="A239" s="966"/>
      <c r="B239" s="967"/>
      <c r="C239" s="967">
        <v>194</v>
      </c>
      <c r="D239" s="967"/>
      <c r="E239" s="968"/>
      <c r="F239" s="968"/>
      <c r="G239" s="968"/>
      <c r="H239" s="968"/>
      <c r="I239" s="968"/>
      <c r="J239" s="968"/>
      <c r="K239" s="967"/>
      <c r="L239" s="967"/>
      <c r="M239" s="967"/>
      <c r="N239" s="967"/>
      <c r="O239" s="1007"/>
      <c r="P239" s="1007"/>
      <c r="Q239" s="1008"/>
    </row>
    <row r="240" spans="1:17" hidden="1">
      <c r="A240" s="966"/>
      <c r="B240" s="967"/>
      <c r="C240" s="967">
        <v>195</v>
      </c>
      <c r="D240" s="967"/>
      <c r="E240" s="968"/>
      <c r="F240" s="968"/>
      <c r="G240" s="968"/>
      <c r="H240" s="968"/>
      <c r="I240" s="968"/>
      <c r="J240" s="968"/>
      <c r="K240" s="967"/>
      <c r="L240" s="967"/>
      <c r="M240" s="967"/>
      <c r="N240" s="967"/>
      <c r="O240" s="1007"/>
      <c r="P240" s="1007"/>
      <c r="Q240" s="1008"/>
    </row>
    <row r="241" spans="1:17" hidden="1">
      <c r="A241" s="966"/>
      <c r="B241" s="967"/>
      <c r="C241" s="967">
        <v>196</v>
      </c>
      <c r="D241" s="967"/>
      <c r="E241" s="968"/>
      <c r="F241" s="968"/>
      <c r="G241" s="968"/>
      <c r="H241" s="968"/>
      <c r="I241" s="968"/>
      <c r="J241" s="968"/>
      <c r="K241" s="967"/>
      <c r="L241" s="967"/>
      <c r="M241" s="967"/>
      <c r="N241" s="967"/>
      <c r="O241" s="1007"/>
      <c r="P241" s="1007"/>
      <c r="Q241" s="1008"/>
    </row>
    <row r="242" spans="1:17" hidden="1">
      <c r="A242" s="966"/>
      <c r="B242" s="967"/>
      <c r="C242" s="967">
        <v>197</v>
      </c>
      <c r="D242" s="967"/>
      <c r="E242" s="968"/>
      <c r="F242" s="968"/>
      <c r="G242" s="968"/>
      <c r="H242" s="968"/>
      <c r="I242" s="968"/>
      <c r="J242" s="968"/>
      <c r="K242" s="967"/>
      <c r="L242" s="967"/>
      <c r="M242" s="967"/>
      <c r="N242" s="967"/>
      <c r="O242" s="1007"/>
      <c r="P242" s="1007"/>
      <c r="Q242" s="1008"/>
    </row>
    <row r="243" spans="1:17" hidden="1">
      <c r="A243" s="966"/>
      <c r="B243" s="967"/>
      <c r="C243" s="967">
        <v>198</v>
      </c>
      <c r="D243" s="967"/>
      <c r="E243" s="968"/>
      <c r="F243" s="968"/>
      <c r="G243" s="968"/>
      <c r="H243" s="968"/>
      <c r="I243" s="968"/>
      <c r="J243" s="968"/>
      <c r="K243" s="967"/>
      <c r="L243" s="967"/>
      <c r="M243" s="967"/>
      <c r="N243" s="967"/>
      <c r="O243" s="1007"/>
      <c r="P243" s="1007"/>
      <c r="Q243" s="1008"/>
    </row>
    <row r="244" spans="1:17" hidden="1">
      <c r="A244" s="966"/>
      <c r="B244" s="967"/>
      <c r="C244" s="967">
        <v>199</v>
      </c>
      <c r="D244" s="967"/>
      <c r="E244" s="968"/>
      <c r="F244" s="968"/>
      <c r="G244" s="968"/>
      <c r="H244" s="968"/>
      <c r="I244" s="968"/>
      <c r="J244" s="968"/>
      <c r="K244" s="967"/>
      <c r="L244" s="967"/>
      <c r="M244" s="967"/>
      <c r="N244" s="967"/>
      <c r="O244" s="1007"/>
      <c r="P244" s="1007"/>
      <c r="Q244" s="1008"/>
    </row>
    <row r="245" spans="1:17" hidden="1">
      <c r="A245" s="966"/>
      <c r="B245" s="967"/>
      <c r="C245" s="967">
        <v>200</v>
      </c>
      <c r="D245" s="967"/>
      <c r="E245" s="968"/>
      <c r="F245" s="968"/>
      <c r="G245" s="968"/>
      <c r="H245" s="968"/>
      <c r="I245" s="968"/>
      <c r="J245" s="968"/>
      <c r="K245" s="967"/>
      <c r="L245" s="967"/>
      <c r="M245" s="967"/>
      <c r="N245" s="967"/>
      <c r="O245" s="1007"/>
      <c r="P245" s="1007"/>
      <c r="Q245" s="1008"/>
    </row>
    <row r="246" spans="1:17" hidden="1">
      <c r="A246" s="966"/>
      <c r="B246" s="967"/>
      <c r="C246" s="967">
        <v>201</v>
      </c>
      <c r="D246" s="967"/>
      <c r="E246" s="968"/>
      <c r="F246" s="968"/>
      <c r="G246" s="968"/>
      <c r="H246" s="968"/>
      <c r="I246" s="968"/>
      <c r="J246" s="968"/>
      <c r="K246" s="967"/>
      <c r="L246" s="967"/>
      <c r="M246" s="967"/>
      <c r="N246" s="967"/>
      <c r="O246" s="1007"/>
      <c r="P246" s="1007"/>
      <c r="Q246" s="1008"/>
    </row>
    <row r="247" spans="1:17" hidden="1">
      <c r="A247" s="966"/>
      <c r="B247" s="967"/>
      <c r="C247" s="967">
        <v>202</v>
      </c>
      <c r="D247" s="967"/>
      <c r="E247" s="968"/>
      <c r="F247" s="968"/>
      <c r="G247" s="968"/>
      <c r="H247" s="968"/>
      <c r="I247" s="968"/>
      <c r="J247" s="968"/>
      <c r="K247" s="967"/>
      <c r="L247" s="967"/>
      <c r="M247" s="967"/>
      <c r="N247" s="967"/>
      <c r="O247" s="1007"/>
      <c r="P247" s="1007"/>
      <c r="Q247" s="1008"/>
    </row>
    <row r="248" spans="1:17" hidden="1">
      <c r="A248" s="966"/>
      <c r="B248" s="967"/>
      <c r="C248" s="967">
        <v>203</v>
      </c>
      <c r="D248" s="967"/>
      <c r="E248" s="968"/>
      <c r="F248" s="968"/>
      <c r="G248" s="968"/>
      <c r="H248" s="968"/>
      <c r="I248" s="968"/>
      <c r="J248" s="968"/>
      <c r="K248" s="967"/>
      <c r="L248" s="967"/>
      <c r="M248" s="967"/>
      <c r="N248" s="967"/>
      <c r="O248" s="1007"/>
      <c r="P248" s="1007"/>
      <c r="Q248" s="1008"/>
    </row>
    <row r="249" spans="1:17" hidden="1">
      <c r="A249" s="966"/>
      <c r="B249" s="967"/>
      <c r="C249" s="967">
        <v>204</v>
      </c>
      <c r="D249" s="967"/>
      <c r="E249" s="968"/>
      <c r="F249" s="968"/>
      <c r="G249" s="968"/>
      <c r="H249" s="968"/>
      <c r="I249" s="968"/>
      <c r="J249" s="968"/>
      <c r="K249" s="967"/>
      <c r="L249" s="967"/>
      <c r="M249" s="967"/>
      <c r="N249" s="967"/>
      <c r="O249" s="1007"/>
      <c r="P249" s="1007"/>
      <c r="Q249" s="1008"/>
    </row>
    <row r="250" spans="1:17" hidden="1">
      <c r="A250" s="966"/>
      <c r="B250" s="967"/>
      <c r="C250" s="967">
        <v>205</v>
      </c>
      <c r="D250" s="967"/>
      <c r="E250" s="968"/>
      <c r="F250" s="968"/>
      <c r="G250" s="968"/>
      <c r="H250" s="968"/>
      <c r="I250" s="968"/>
      <c r="J250" s="968"/>
      <c r="K250" s="967"/>
      <c r="L250" s="967"/>
      <c r="M250" s="967"/>
      <c r="N250" s="967"/>
      <c r="O250" s="1007"/>
      <c r="P250" s="1007"/>
      <c r="Q250" s="1008"/>
    </row>
    <row r="251" spans="1:17" hidden="1">
      <c r="A251" s="966"/>
      <c r="B251" s="967"/>
      <c r="C251" s="967">
        <v>206</v>
      </c>
      <c r="D251" s="967"/>
      <c r="E251" s="968"/>
      <c r="F251" s="968"/>
      <c r="G251" s="968"/>
      <c r="H251" s="968"/>
      <c r="I251" s="968"/>
      <c r="J251" s="968"/>
      <c r="K251" s="967"/>
      <c r="L251" s="967"/>
      <c r="M251" s="967"/>
      <c r="N251" s="967"/>
      <c r="O251" s="1007"/>
      <c r="P251" s="1007"/>
      <c r="Q251" s="1008"/>
    </row>
    <row r="252" spans="1:17" hidden="1">
      <c r="A252" s="966"/>
      <c r="B252" s="967"/>
      <c r="C252" s="967">
        <v>207</v>
      </c>
      <c r="D252" s="967"/>
      <c r="E252" s="968"/>
      <c r="F252" s="968"/>
      <c r="G252" s="968"/>
      <c r="H252" s="968"/>
      <c r="I252" s="968"/>
      <c r="J252" s="968"/>
      <c r="K252" s="967"/>
      <c r="L252" s="967"/>
      <c r="M252" s="967"/>
      <c r="N252" s="967"/>
      <c r="O252" s="1007"/>
      <c r="P252" s="1007"/>
      <c r="Q252" s="1008"/>
    </row>
    <row r="253" spans="1:17" hidden="1">
      <c r="A253" s="966"/>
      <c r="B253" s="967"/>
      <c r="C253" s="967">
        <v>208</v>
      </c>
      <c r="D253" s="967"/>
      <c r="E253" s="968"/>
      <c r="F253" s="968"/>
      <c r="G253" s="968"/>
      <c r="H253" s="968"/>
      <c r="I253" s="968"/>
      <c r="J253" s="968"/>
      <c r="K253" s="967"/>
      <c r="L253" s="967"/>
      <c r="M253" s="967"/>
      <c r="N253" s="967"/>
      <c r="O253" s="1007"/>
      <c r="P253" s="1007"/>
      <c r="Q253" s="1008"/>
    </row>
    <row r="254" spans="1:17" hidden="1">
      <c r="A254" s="966"/>
      <c r="B254" s="967"/>
      <c r="C254" s="967">
        <v>209</v>
      </c>
      <c r="D254" s="967"/>
      <c r="E254" s="968"/>
      <c r="F254" s="968"/>
      <c r="G254" s="968"/>
      <c r="H254" s="968"/>
      <c r="I254" s="968"/>
      <c r="J254" s="968"/>
      <c r="K254" s="967"/>
      <c r="L254" s="967"/>
      <c r="M254" s="967"/>
      <c r="N254" s="967"/>
      <c r="O254" s="1007"/>
      <c r="P254" s="1007"/>
      <c r="Q254" s="1008"/>
    </row>
    <row r="255" spans="1:17" hidden="1">
      <c r="A255" s="966"/>
      <c r="B255" s="967"/>
      <c r="C255" s="967">
        <v>210</v>
      </c>
      <c r="D255" s="967"/>
      <c r="E255" s="968"/>
      <c r="F255" s="968"/>
      <c r="G255" s="968"/>
      <c r="H255" s="968"/>
      <c r="I255" s="968"/>
      <c r="J255" s="968"/>
      <c r="K255" s="967"/>
      <c r="L255" s="967"/>
      <c r="M255" s="967"/>
      <c r="N255" s="967"/>
      <c r="O255" s="1007"/>
      <c r="P255" s="1007"/>
      <c r="Q255" s="1008"/>
    </row>
    <row r="256" spans="1:17" hidden="1">
      <c r="A256" s="966"/>
      <c r="B256" s="967"/>
      <c r="C256" s="967">
        <v>211</v>
      </c>
      <c r="D256" s="967"/>
      <c r="E256" s="968"/>
      <c r="F256" s="968"/>
      <c r="G256" s="968"/>
      <c r="H256" s="968"/>
      <c r="I256" s="968"/>
      <c r="J256" s="968"/>
      <c r="K256" s="967"/>
      <c r="L256" s="967"/>
      <c r="M256" s="967"/>
      <c r="N256" s="967"/>
      <c r="O256" s="1007"/>
      <c r="P256" s="1007"/>
      <c r="Q256" s="1008"/>
    </row>
    <row r="257" spans="1:17" hidden="1">
      <c r="A257" s="966"/>
      <c r="B257" s="967"/>
      <c r="C257" s="967">
        <v>212</v>
      </c>
      <c r="D257" s="967"/>
      <c r="E257" s="968"/>
      <c r="F257" s="968"/>
      <c r="G257" s="968"/>
      <c r="H257" s="968"/>
      <c r="I257" s="968"/>
      <c r="J257" s="968"/>
      <c r="K257" s="967"/>
      <c r="L257" s="967"/>
      <c r="M257" s="967"/>
      <c r="N257" s="967"/>
      <c r="O257" s="1007"/>
      <c r="P257" s="1007"/>
      <c r="Q257" s="1008"/>
    </row>
    <row r="258" spans="1:17" hidden="1">
      <c r="A258" s="966"/>
      <c r="B258" s="967"/>
      <c r="C258" s="967">
        <v>213</v>
      </c>
      <c r="D258" s="967"/>
      <c r="E258" s="968"/>
      <c r="F258" s="968"/>
      <c r="G258" s="968"/>
      <c r="H258" s="968"/>
      <c r="I258" s="968"/>
      <c r="J258" s="968"/>
      <c r="K258" s="967"/>
      <c r="L258" s="967"/>
      <c r="M258" s="967"/>
      <c r="N258" s="967"/>
      <c r="O258" s="1007"/>
      <c r="P258" s="1007"/>
      <c r="Q258" s="1008"/>
    </row>
    <row r="259" spans="1:17" hidden="1">
      <c r="A259" s="966"/>
      <c r="B259" s="967"/>
      <c r="C259" s="967">
        <v>214</v>
      </c>
      <c r="D259" s="967"/>
      <c r="E259" s="968"/>
      <c r="F259" s="968"/>
      <c r="G259" s="968"/>
      <c r="H259" s="968"/>
      <c r="I259" s="968"/>
      <c r="J259" s="968"/>
      <c r="K259" s="967"/>
      <c r="L259" s="967"/>
      <c r="M259" s="967"/>
      <c r="N259" s="967"/>
      <c r="O259" s="1007"/>
      <c r="P259" s="1007"/>
      <c r="Q259" s="1008"/>
    </row>
    <row r="260" spans="1:17" hidden="1">
      <c r="A260" s="966"/>
      <c r="B260" s="967"/>
      <c r="C260" s="967">
        <v>215</v>
      </c>
      <c r="D260" s="967"/>
      <c r="E260" s="968"/>
      <c r="F260" s="968"/>
      <c r="G260" s="968"/>
      <c r="H260" s="968"/>
      <c r="I260" s="968"/>
      <c r="J260" s="968"/>
      <c r="K260" s="967"/>
      <c r="L260" s="967"/>
      <c r="M260" s="967"/>
      <c r="N260" s="967"/>
      <c r="O260" s="1007"/>
      <c r="P260" s="1007"/>
      <c r="Q260" s="1008"/>
    </row>
    <row r="261" spans="1:17" hidden="1">
      <c r="A261" s="966"/>
      <c r="B261" s="967"/>
      <c r="C261" s="967">
        <v>216</v>
      </c>
      <c r="D261" s="967"/>
      <c r="E261" s="968"/>
      <c r="F261" s="968"/>
      <c r="G261" s="968"/>
      <c r="H261" s="968"/>
      <c r="I261" s="968"/>
      <c r="J261" s="968"/>
      <c r="K261" s="967"/>
      <c r="L261" s="967"/>
      <c r="M261" s="967"/>
      <c r="N261" s="967"/>
      <c r="O261" s="1007"/>
      <c r="P261" s="1007"/>
      <c r="Q261" s="1008"/>
    </row>
    <row r="262" spans="1:17" hidden="1">
      <c r="A262" s="966"/>
      <c r="B262" s="967"/>
      <c r="C262" s="967">
        <v>217</v>
      </c>
      <c r="D262" s="967"/>
      <c r="E262" s="968"/>
      <c r="F262" s="968"/>
      <c r="G262" s="968"/>
      <c r="H262" s="968"/>
      <c r="I262" s="968"/>
      <c r="J262" s="968"/>
      <c r="K262" s="967"/>
      <c r="L262" s="967"/>
      <c r="M262" s="967"/>
      <c r="N262" s="967"/>
      <c r="O262" s="1007"/>
      <c r="P262" s="1007"/>
      <c r="Q262" s="1008"/>
    </row>
    <row r="263" spans="1:17" hidden="1">
      <c r="A263" s="966"/>
      <c r="B263" s="967"/>
      <c r="C263" s="967">
        <v>218</v>
      </c>
      <c r="D263" s="967"/>
      <c r="E263" s="968"/>
      <c r="F263" s="968"/>
      <c r="G263" s="968"/>
      <c r="H263" s="968"/>
      <c r="I263" s="968"/>
      <c r="J263" s="968"/>
      <c r="K263" s="967"/>
      <c r="L263" s="967"/>
      <c r="M263" s="967"/>
      <c r="N263" s="967"/>
      <c r="O263" s="1007"/>
      <c r="P263" s="1007"/>
      <c r="Q263" s="1008"/>
    </row>
    <row r="264" spans="1:17" hidden="1">
      <c r="A264" s="966"/>
      <c r="B264" s="967"/>
      <c r="C264" s="967">
        <v>219</v>
      </c>
      <c r="D264" s="967"/>
      <c r="E264" s="968"/>
      <c r="F264" s="968"/>
      <c r="G264" s="968"/>
      <c r="H264" s="968"/>
      <c r="I264" s="968"/>
      <c r="J264" s="968"/>
      <c r="K264" s="967"/>
      <c r="L264" s="967"/>
      <c r="M264" s="967"/>
      <c r="N264" s="967"/>
      <c r="O264" s="1007"/>
      <c r="P264" s="1007"/>
      <c r="Q264" s="1008"/>
    </row>
    <row r="265" spans="1:17" hidden="1">
      <c r="A265" s="966"/>
      <c r="B265" s="967"/>
      <c r="C265" s="967">
        <v>220</v>
      </c>
      <c r="D265" s="967"/>
      <c r="E265" s="968"/>
      <c r="F265" s="968"/>
      <c r="G265" s="968"/>
      <c r="H265" s="968"/>
      <c r="I265" s="968"/>
      <c r="J265" s="968"/>
      <c r="K265" s="967"/>
      <c r="L265" s="967"/>
      <c r="M265" s="967"/>
      <c r="N265" s="967"/>
      <c r="O265" s="1007"/>
      <c r="P265" s="1007"/>
      <c r="Q265" s="1008"/>
    </row>
    <row r="266" spans="1:17" hidden="1">
      <c r="A266" s="966"/>
      <c r="B266" s="967"/>
      <c r="C266" s="967">
        <v>221</v>
      </c>
      <c r="D266" s="967"/>
      <c r="E266" s="968"/>
      <c r="F266" s="968"/>
      <c r="G266" s="968"/>
      <c r="H266" s="968"/>
      <c r="I266" s="968"/>
      <c r="J266" s="968"/>
      <c r="K266" s="967"/>
      <c r="L266" s="967"/>
      <c r="M266" s="967"/>
      <c r="N266" s="967"/>
      <c r="O266" s="1007"/>
      <c r="P266" s="1007"/>
      <c r="Q266" s="1008"/>
    </row>
    <row r="267" spans="1:17" hidden="1">
      <c r="A267" s="966"/>
      <c r="B267" s="967"/>
      <c r="C267" s="967">
        <v>222</v>
      </c>
      <c r="D267" s="967"/>
      <c r="E267" s="968"/>
      <c r="F267" s="968"/>
      <c r="G267" s="968"/>
      <c r="H267" s="968"/>
      <c r="I267" s="968"/>
      <c r="J267" s="968"/>
      <c r="K267" s="967"/>
      <c r="L267" s="967"/>
      <c r="M267" s="967"/>
      <c r="N267" s="967"/>
      <c r="O267" s="1007"/>
      <c r="P267" s="1007"/>
      <c r="Q267" s="1008"/>
    </row>
    <row r="268" spans="1:17" hidden="1">
      <c r="A268" s="966"/>
      <c r="B268" s="967"/>
      <c r="C268" s="967">
        <v>223</v>
      </c>
      <c r="D268" s="967"/>
      <c r="E268" s="968"/>
      <c r="F268" s="968"/>
      <c r="G268" s="968"/>
      <c r="H268" s="968"/>
      <c r="I268" s="968"/>
      <c r="J268" s="968"/>
      <c r="K268" s="967"/>
      <c r="L268" s="967"/>
      <c r="M268" s="967"/>
      <c r="N268" s="967"/>
      <c r="O268" s="1007"/>
      <c r="P268" s="1007"/>
      <c r="Q268" s="1008"/>
    </row>
    <row r="269" spans="1:17" hidden="1">
      <c r="A269" s="966"/>
      <c r="B269" s="967"/>
      <c r="C269" s="967">
        <v>224</v>
      </c>
      <c r="D269" s="967"/>
      <c r="E269" s="968"/>
      <c r="F269" s="968"/>
      <c r="G269" s="968"/>
      <c r="H269" s="968"/>
      <c r="I269" s="968"/>
      <c r="J269" s="968"/>
      <c r="K269" s="967"/>
      <c r="L269" s="967"/>
      <c r="M269" s="967"/>
      <c r="N269" s="967"/>
      <c r="O269" s="1007"/>
      <c r="P269" s="1007"/>
      <c r="Q269" s="1008"/>
    </row>
    <row r="270" spans="1:17" hidden="1">
      <c r="A270" s="966"/>
      <c r="B270" s="967"/>
      <c r="C270" s="967">
        <v>225</v>
      </c>
      <c r="D270" s="967"/>
      <c r="E270" s="968"/>
      <c r="F270" s="968"/>
      <c r="G270" s="968"/>
      <c r="H270" s="968"/>
      <c r="I270" s="968"/>
      <c r="J270" s="968"/>
      <c r="K270" s="967"/>
      <c r="L270" s="967"/>
      <c r="M270" s="967"/>
      <c r="N270" s="967"/>
      <c r="O270" s="1007"/>
      <c r="P270" s="1007"/>
      <c r="Q270" s="1008"/>
    </row>
    <row r="271" spans="1:17" hidden="1">
      <c r="A271" s="966"/>
      <c r="B271" s="967"/>
      <c r="C271" s="967">
        <v>226</v>
      </c>
      <c r="D271" s="967"/>
      <c r="E271" s="968"/>
      <c r="F271" s="968"/>
      <c r="G271" s="968"/>
      <c r="H271" s="968"/>
      <c r="I271" s="968"/>
      <c r="J271" s="968"/>
      <c r="K271" s="967"/>
      <c r="L271" s="967"/>
      <c r="M271" s="967"/>
      <c r="N271" s="967"/>
      <c r="O271" s="1007"/>
      <c r="P271" s="1007"/>
      <c r="Q271" s="1008"/>
    </row>
    <row r="272" spans="1:17" hidden="1">
      <c r="A272" s="966"/>
      <c r="B272" s="967"/>
      <c r="C272" s="967">
        <v>227</v>
      </c>
      <c r="D272" s="967"/>
      <c r="E272" s="968"/>
      <c r="F272" s="968"/>
      <c r="G272" s="968"/>
      <c r="H272" s="968"/>
      <c r="I272" s="968"/>
      <c r="J272" s="968"/>
      <c r="K272" s="967"/>
      <c r="L272" s="967"/>
      <c r="M272" s="967"/>
      <c r="N272" s="967"/>
      <c r="O272" s="1007"/>
      <c r="P272" s="1007"/>
      <c r="Q272" s="1008"/>
    </row>
    <row r="273" spans="1:17" hidden="1">
      <c r="A273" s="966"/>
      <c r="B273" s="967"/>
      <c r="C273" s="967">
        <v>228</v>
      </c>
      <c r="D273" s="967"/>
      <c r="E273" s="968"/>
      <c r="F273" s="968"/>
      <c r="G273" s="968"/>
      <c r="H273" s="968"/>
      <c r="I273" s="968"/>
      <c r="J273" s="968"/>
      <c r="K273" s="967"/>
      <c r="L273" s="967"/>
      <c r="M273" s="967"/>
      <c r="N273" s="967"/>
      <c r="O273" s="1007"/>
      <c r="P273" s="1007"/>
      <c r="Q273" s="1008"/>
    </row>
    <row r="274" spans="1:17" hidden="1">
      <c r="A274" s="966"/>
      <c r="B274" s="967"/>
      <c r="C274" s="967">
        <v>229</v>
      </c>
      <c r="D274" s="967"/>
      <c r="E274" s="968"/>
      <c r="F274" s="968"/>
      <c r="G274" s="968"/>
      <c r="H274" s="968"/>
      <c r="I274" s="968"/>
      <c r="J274" s="968"/>
      <c r="K274" s="967"/>
      <c r="L274" s="967"/>
      <c r="M274" s="967"/>
      <c r="N274" s="967"/>
      <c r="O274" s="1007"/>
      <c r="P274" s="1007"/>
      <c r="Q274" s="1008"/>
    </row>
    <row r="275" spans="1:17" hidden="1">
      <c r="A275" s="966"/>
      <c r="B275" s="967"/>
      <c r="C275" s="967">
        <v>230</v>
      </c>
      <c r="D275" s="967"/>
      <c r="E275" s="968"/>
      <c r="F275" s="968"/>
      <c r="G275" s="968"/>
      <c r="H275" s="968"/>
      <c r="I275" s="968"/>
      <c r="J275" s="968"/>
      <c r="K275" s="967"/>
      <c r="L275" s="967"/>
      <c r="M275" s="967"/>
      <c r="N275" s="967"/>
      <c r="O275" s="1007"/>
      <c r="P275" s="1007"/>
      <c r="Q275" s="1008"/>
    </row>
    <row r="276" spans="1:17" hidden="1">
      <c r="A276" s="966"/>
      <c r="B276" s="967"/>
      <c r="C276" s="967">
        <v>231</v>
      </c>
      <c r="D276" s="967"/>
      <c r="E276" s="968"/>
      <c r="F276" s="968"/>
      <c r="G276" s="968"/>
      <c r="H276" s="968"/>
      <c r="I276" s="968"/>
      <c r="J276" s="968"/>
      <c r="K276" s="967"/>
      <c r="L276" s="967"/>
      <c r="M276" s="967"/>
      <c r="N276" s="967"/>
      <c r="O276" s="1007"/>
      <c r="P276" s="1007"/>
      <c r="Q276" s="1008"/>
    </row>
    <row r="277" spans="1:17" hidden="1">
      <c r="A277" s="966"/>
      <c r="B277" s="967"/>
      <c r="C277" s="967">
        <v>232</v>
      </c>
      <c r="D277" s="967"/>
      <c r="E277" s="968"/>
      <c r="F277" s="968"/>
      <c r="G277" s="968"/>
      <c r="H277" s="968"/>
      <c r="I277" s="968"/>
      <c r="J277" s="968"/>
      <c r="K277" s="967"/>
      <c r="L277" s="967"/>
      <c r="M277" s="967"/>
      <c r="N277" s="967"/>
      <c r="O277" s="1007"/>
      <c r="P277" s="1007"/>
      <c r="Q277" s="1008"/>
    </row>
    <row r="278" spans="1:17" hidden="1">
      <c r="A278" s="966"/>
      <c r="B278" s="967"/>
      <c r="C278" s="967">
        <v>233</v>
      </c>
      <c r="D278" s="967"/>
      <c r="E278" s="968"/>
      <c r="F278" s="968"/>
      <c r="G278" s="968"/>
      <c r="H278" s="968"/>
      <c r="I278" s="968"/>
      <c r="J278" s="968"/>
      <c r="K278" s="967"/>
      <c r="L278" s="967"/>
      <c r="M278" s="967"/>
      <c r="N278" s="967"/>
      <c r="O278" s="1007"/>
      <c r="P278" s="1007"/>
      <c r="Q278" s="1008"/>
    </row>
    <row r="279" spans="1:17" hidden="1">
      <c r="A279" s="966"/>
      <c r="B279" s="967"/>
      <c r="C279" s="967">
        <v>234</v>
      </c>
      <c r="D279" s="967"/>
      <c r="E279" s="968"/>
      <c r="F279" s="968"/>
      <c r="G279" s="968"/>
      <c r="H279" s="968"/>
      <c r="I279" s="968"/>
      <c r="J279" s="968"/>
      <c r="K279" s="967"/>
      <c r="L279" s="967"/>
      <c r="M279" s="967"/>
      <c r="N279" s="967"/>
      <c r="O279" s="1007"/>
      <c r="P279" s="1007"/>
      <c r="Q279" s="1008"/>
    </row>
    <row r="280" spans="1:17" hidden="1">
      <c r="A280" s="966"/>
      <c r="B280" s="967"/>
      <c r="C280" s="967">
        <v>235</v>
      </c>
      <c r="D280" s="967"/>
      <c r="E280" s="968"/>
      <c r="F280" s="968"/>
      <c r="G280" s="968"/>
      <c r="H280" s="968"/>
      <c r="I280" s="968"/>
      <c r="J280" s="968"/>
      <c r="K280" s="967"/>
      <c r="L280" s="967"/>
      <c r="M280" s="967"/>
      <c r="N280" s="967"/>
      <c r="O280" s="1007"/>
      <c r="P280" s="1007"/>
      <c r="Q280" s="1008"/>
    </row>
    <row r="281" spans="1:17" hidden="1">
      <c r="A281" s="966"/>
      <c r="B281" s="967"/>
      <c r="C281" s="967">
        <v>236</v>
      </c>
      <c r="D281" s="967"/>
      <c r="E281" s="968"/>
      <c r="F281" s="968"/>
      <c r="G281" s="968"/>
      <c r="H281" s="968"/>
      <c r="I281" s="968"/>
      <c r="J281" s="968"/>
      <c r="K281" s="967"/>
      <c r="L281" s="967"/>
      <c r="M281" s="967"/>
      <c r="N281" s="967"/>
      <c r="O281" s="1007"/>
      <c r="P281" s="1007"/>
      <c r="Q281" s="1008"/>
    </row>
    <row r="282" spans="1:17" hidden="1">
      <c r="A282" s="966"/>
      <c r="B282" s="967"/>
      <c r="C282" s="967">
        <v>237</v>
      </c>
      <c r="D282" s="967"/>
      <c r="E282" s="968"/>
      <c r="F282" s="968"/>
      <c r="G282" s="968"/>
      <c r="H282" s="968"/>
      <c r="I282" s="968"/>
      <c r="J282" s="968"/>
      <c r="K282" s="967"/>
      <c r="L282" s="967"/>
      <c r="M282" s="967"/>
      <c r="N282" s="967"/>
      <c r="O282" s="1007"/>
      <c r="P282" s="1007"/>
      <c r="Q282" s="1008"/>
    </row>
    <row r="283" spans="1:17" hidden="1">
      <c r="A283" s="966"/>
      <c r="B283" s="967"/>
      <c r="C283" s="967">
        <v>238</v>
      </c>
      <c r="D283" s="967"/>
      <c r="E283" s="968"/>
      <c r="F283" s="968"/>
      <c r="G283" s="968"/>
      <c r="H283" s="968"/>
      <c r="I283" s="968"/>
      <c r="J283" s="968"/>
      <c r="K283" s="967"/>
      <c r="L283" s="967"/>
      <c r="M283" s="967"/>
      <c r="N283" s="967"/>
      <c r="O283" s="1007"/>
      <c r="P283" s="1007"/>
      <c r="Q283" s="1008"/>
    </row>
    <row r="284" spans="1:17" hidden="1">
      <c r="A284" s="966"/>
      <c r="B284" s="967"/>
      <c r="C284" s="967">
        <v>239</v>
      </c>
      <c r="D284" s="967"/>
      <c r="E284" s="968"/>
      <c r="F284" s="968"/>
      <c r="G284" s="968"/>
      <c r="H284" s="968"/>
      <c r="I284" s="968"/>
      <c r="J284" s="968"/>
      <c r="K284" s="967"/>
      <c r="L284" s="967"/>
      <c r="M284" s="967"/>
      <c r="N284" s="967"/>
      <c r="O284" s="1007"/>
      <c r="P284" s="1007"/>
      <c r="Q284" s="1008"/>
    </row>
    <row r="285" spans="1:17" hidden="1">
      <c r="A285" s="966"/>
      <c r="B285" s="967"/>
      <c r="C285" s="967">
        <v>240</v>
      </c>
      <c r="D285" s="967"/>
      <c r="E285" s="968"/>
      <c r="F285" s="968"/>
      <c r="G285" s="968"/>
      <c r="H285" s="968"/>
      <c r="I285" s="968"/>
      <c r="J285" s="968"/>
      <c r="K285" s="967"/>
      <c r="L285" s="967"/>
      <c r="M285" s="967"/>
      <c r="N285" s="967"/>
      <c r="O285" s="1007"/>
      <c r="P285" s="1007"/>
      <c r="Q285" s="1008"/>
    </row>
    <row r="286" spans="1:17" hidden="1">
      <c r="A286" s="966"/>
      <c r="B286" s="967"/>
      <c r="C286" s="967">
        <v>241</v>
      </c>
      <c r="D286" s="967"/>
      <c r="E286" s="968"/>
      <c r="F286" s="968"/>
      <c r="G286" s="968"/>
      <c r="H286" s="968"/>
      <c r="I286" s="968"/>
      <c r="J286" s="968"/>
      <c r="K286" s="967"/>
      <c r="L286" s="967"/>
      <c r="M286" s="967"/>
      <c r="N286" s="967"/>
      <c r="O286" s="1007"/>
      <c r="P286" s="1007"/>
      <c r="Q286" s="1008"/>
    </row>
    <row r="287" spans="1:17" hidden="1">
      <c r="A287" s="966"/>
      <c r="B287" s="967"/>
      <c r="C287" s="967">
        <v>242</v>
      </c>
      <c r="D287" s="967"/>
      <c r="E287" s="968"/>
      <c r="F287" s="968"/>
      <c r="G287" s="968"/>
      <c r="H287" s="968"/>
      <c r="I287" s="968"/>
      <c r="J287" s="968"/>
      <c r="K287" s="967"/>
      <c r="L287" s="967"/>
      <c r="M287" s="967"/>
      <c r="N287" s="967"/>
      <c r="O287" s="1007"/>
      <c r="P287" s="1007"/>
      <c r="Q287" s="1008"/>
    </row>
    <row r="288" spans="1:17" hidden="1">
      <c r="A288" s="966"/>
      <c r="B288" s="967"/>
      <c r="C288" s="967">
        <v>243</v>
      </c>
      <c r="D288" s="967"/>
      <c r="E288" s="968"/>
      <c r="F288" s="968"/>
      <c r="G288" s="968"/>
      <c r="H288" s="968"/>
      <c r="I288" s="968"/>
      <c r="J288" s="968"/>
      <c r="K288" s="967"/>
      <c r="L288" s="967"/>
      <c r="M288" s="967"/>
      <c r="N288" s="967"/>
      <c r="O288" s="1007"/>
      <c r="P288" s="1007"/>
      <c r="Q288" s="1008"/>
    </row>
    <row r="289" spans="1:17" hidden="1">
      <c r="A289" s="966"/>
      <c r="B289" s="967"/>
      <c r="C289" s="967">
        <v>244</v>
      </c>
      <c r="D289" s="967"/>
      <c r="E289" s="968"/>
      <c r="F289" s="968"/>
      <c r="G289" s="968"/>
      <c r="H289" s="968"/>
      <c r="I289" s="968"/>
      <c r="J289" s="968"/>
      <c r="K289" s="967"/>
      <c r="L289" s="967"/>
      <c r="M289" s="967"/>
      <c r="N289" s="967"/>
      <c r="O289" s="1007"/>
      <c r="P289" s="1007"/>
      <c r="Q289" s="1008"/>
    </row>
    <row r="290" spans="1:17" hidden="1">
      <c r="A290" s="966"/>
      <c r="B290" s="967"/>
      <c r="C290" s="967">
        <v>245</v>
      </c>
      <c r="D290" s="967"/>
      <c r="E290" s="968"/>
      <c r="F290" s="968"/>
      <c r="G290" s="968"/>
      <c r="H290" s="968"/>
      <c r="I290" s="968"/>
      <c r="J290" s="968"/>
      <c r="K290" s="967"/>
      <c r="L290" s="967"/>
      <c r="M290" s="967"/>
      <c r="N290" s="967"/>
      <c r="O290" s="1007"/>
      <c r="P290" s="1007"/>
      <c r="Q290" s="1008"/>
    </row>
    <row r="291" spans="1:17" hidden="1">
      <c r="A291" s="966"/>
      <c r="B291" s="967"/>
      <c r="C291" s="967">
        <v>246</v>
      </c>
      <c r="D291" s="967"/>
      <c r="E291" s="968"/>
      <c r="F291" s="968"/>
      <c r="G291" s="968"/>
      <c r="H291" s="968"/>
      <c r="I291" s="968"/>
      <c r="J291" s="968"/>
      <c r="K291" s="967"/>
      <c r="L291" s="967"/>
      <c r="M291" s="967"/>
      <c r="N291" s="967"/>
      <c r="O291" s="1007"/>
      <c r="P291" s="1007"/>
      <c r="Q291" s="1008"/>
    </row>
    <row r="292" spans="1:17" hidden="1">
      <c r="A292" s="966"/>
      <c r="B292" s="967"/>
      <c r="C292" s="967">
        <v>247</v>
      </c>
      <c r="D292" s="967"/>
      <c r="E292" s="968"/>
      <c r="F292" s="968"/>
      <c r="G292" s="968"/>
      <c r="H292" s="968"/>
      <c r="I292" s="968"/>
      <c r="J292" s="968"/>
      <c r="K292" s="967"/>
      <c r="L292" s="967"/>
      <c r="M292" s="967"/>
      <c r="N292" s="967"/>
      <c r="O292" s="1007"/>
      <c r="P292" s="1007"/>
      <c r="Q292" s="1008"/>
    </row>
    <row r="293" spans="1:17" hidden="1">
      <c r="A293" s="966"/>
      <c r="B293" s="967"/>
      <c r="C293" s="967">
        <v>248</v>
      </c>
      <c r="D293" s="967"/>
      <c r="E293" s="968"/>
      <c r="F293" s="968"/>
      <c r="G293" s="968"/>
      <c r="H293" s="968"/>
      <c r="I293" s="968"/>
      <c r="J293" s="968"/>
      <c r="K293" s="967"/>
      <c r="L293" s="967"/>
      <c r="M293" s="967"/>
      <c r="N293" s="967"/>
      <c r="O293" s="1007"/>
      <c r="P293" s="1007"/>
      <c r="Q293" s="1008"/>
    </row>
    <row r="294" spans="1:17" hidden="1">
      <c r="A294" s="966"/>
      <c r="B294" s="967"/>
      <c r="C294" s="967">
        <v>249</v>
      </c>
      <c r="D294" s="967"/>
      <c r="E294" s="968"/>
      <c r="F294" s="968"/>
      <c r="G294" s="968"/>
      <c r="H294" s="968"/>
      <c r="I294" s="968"/>
      <c r="J294" s="968"/>
      <c r="K294" s="967"/>
      <c r="L294" s="967"/>
      <c r="M294" s="967"/>
      <c r="N294" s="967"/>
      <c r="O294" s="1007"/>
      <c r="P294" s="1007"/>
      <c r="Q294" s="1008"/>
    </row>
    <row r="295" spans="1:17" hidden="1">
      <c r="A295" s="966"/>
      <c r="B295" s="967"/>
      <c r="C295" s="967">
        <v>250</v>
      </c>
      <c r="D295" s="967"/>
      <c r="E295" s="968"/>
      <c r="F295" s="968"/>
      <c r="G295" s="968"/>
      <c r="H295" s="968"/>
      <c r="I295" s="968"/>
      <c r="J295" s="968"/>
      <c r="K295" s="967"/>
      <c r="L295" s="967"/>
      <c r="M295" s="967"/>
      <c r="N295" s="967"/>
      <c r="O295" s="1007"/>
      <c r="P295" s="1007"/>
      <c r="Q295" s="1008"/>
    </row>
    <row r="296" spans="1:17" hidden="1">
      <c r="A296" s="966"/>
      <c r="B296" s="967"/>
      <c r="C296" s="967">
        <v>251</v>
      </c>
      <c r="D296" s="967"/>
      <c r="E296" s="968"/>
      <c r="F296" s="968"/>
      <c r="G296" s="968"/>
      <c r="H296" s="968"/>
      <c r="I296" s="968"/>
      <c r="J296" s="968"/>
      <c r="K296" s="967"/>
      <c r="L296" s="967"/>
      <c r="M296" s="967"/>
      <c r="N296" s="967"/>
      <c r="O296" s="1007"/>
      <c r="P296" s="1007"/>
      <c r="Q296" s="1008"/>
    </row>
    <row r="297" spans="1:17" hidden="1">
      <c r="A297" s="966"/>
      <c r="B297" s="967"/>
      <c r="C297" s="967">
        <v>252</v>
      </c>
      <c r="D297" s="967"/>
      <c r="E297" s="968"/>
      <c r="F297" s="968"/>
      <c r="G297" s="968"/>
      <c r="H297" s="968"/>
      <c r="I297" s="968"/>
      <c r="J297" s="968"/>
      <c r="K297" s="967"/>
      <c r="L297" s="967"/>
      <c r="M297" s="967"/>
      <c r="N297" s="967"/>
      <c r="O297" s="1007"/>
      <c r="P297" s="1007"/>
      <c r="Q297" s="1008"/>
    </row>
    <row r="298" spans="1:17" hidden="1">
      <c r="A298" s="966"/>
      <c r="B298" s="967"/>
      <c r="C298" s="967">
        <v>253</v>
      </c>
      <c r="D298" s="967"/>
      <c r="E298" s="968"/>
      <c r="F298" s="968"/>
      <c r="G298" s="968"/>
      <c r="H298" s="968"/>
      <c r="I298" s="968"/>
      <c r="J298" s="968"/>
      <c r="K298" s="967"/>
      <c r="L298" s="967"/>
      <c r="M298" s="967"/>
      <c r="N298" s="967"/>
      <c r="O298" s="1007"/>
      <c r="P298" s="1007"/>
      <c r="Q298" s="1008"/>
    </row>
    <row r="299" spans="1:17" hidden="1">
      <c r="A299" s="966"/>
      <c r="B299" s="967"/>
      <c r="C299" s="967">
        <v>254</v>
      </c>
      <c r="D299" s="967"/>
      <c r="E299" s="968"/>
      <c r="F299" s="968"/>
      <c r="G299" s="968"/>
      <c r="H299" s="968"/>
      <c r="I299" s="968"/>
      <c r="J299" s="968"/>
      <c r="K299" s="967"/>
      <c r="L299" s="967"/>
      <c r="M299" s="967"/>
      <c r="N299" s="967"/>
      <c r="O299" s="1007"/>
      <c r="P299" s="1007"/>
      <c r="Q299" s="1008"/>
    </row>
    <row r="300" spans="1:17" hidden="1">
      <c r="A300" s="966"/>
      <c r="B300" s="967"/>
      <c r="C300" s="967">
        <v>255</v>
      </c>
      <c r="D300" s="967"/>
      <c r="E300" s="968"/>
      <c r="F300" s="968"/>
      <c r="G300" s="968"/>
      <c r="H300" s="968"/>
      <c r="I300" s="968"/>
      <c r="J300" s="968"/>
      <c r="K300" s="967"/>
      <c r="L300" s="967"/>
      <c r="M300" s="967"/>
      <c r="N300" s="967"/>
      <c r="O300" s="1007"/>
      <c r="P300" s="1007"/>
      <c r="Q300" s="1008"/>
    </row>
    <row r="301" spans="1:17" hidden="1">
      <c r="A301" s="966"/>
      <c r="B301" s="967"/>
      <c r="C301" s="967">
        <v>256</v>
      </c>
      <c r="D301" s="967"/>
      <c r="E301" s="968"/>
      <c r="F301" s="968"/>
      <c r="G301" s="968"/>
      <c r="H301" s="968"/>
      <c r="I301" s="968"/>
      <c r="J301" s="968"/>
      <c r="K301" s="967"/>
      <c r="L301" s="967"/>
      <c r="M301" s="967"/>
      <c r="N301" s="967"/>
      <c r="O301" s="1007"/>
      <c r="P301" s="1007"/>
      <c r="Q301" s="1008"/>
    </row>
    <row r="302" spans="1:17" hidden="1">
      <c r="A302" s="966"/>
      <c r="B302" s="967"/>
      <c r="C302" s="967">
        <v>257</v>
      </c>
      <c r="D302" s="967"/>
      <c r="E302" s="968"/>
      <c r="F302" s="968"/>
      <c r="G302" s="968"/>
      <c r="H302" s="968"/>
      <c r="I302" s="968"/>
      <c r="J302" s="968"/>
      <c r="K302" s="967"/>
      <c r="L302" s="967"/>
      <c r="M302" s="967"/>
      <c r="N302" s="967"/>
      <c r="O302" s="1007"/>
      <c r="P302" s="1007"/>
      <c r="Q302" s="1008"/>
    </row>
    <row r="303" spans="1:17" hidden="1">
      <c r="A303" s="966"/>
      <c r="B303" s="967"/>
      <c r="C303" s="967">
        <v>258</v>
      </c>
      <c r="D303" s="967"/>
      <c r="E303" s="968"/>
      <c r="F303" s="968"/>
      <c r="G303" s="968"/>
      <c r="H303" s="968"/>
      <c r="I303" s="968"/>
      <c r="J303" s="968"/>
      <c r="K303" s="967"/>
      <c r="L303" s="967"/>
      <c r="M303" s="967"/>
      <c r="N303" s="967"/>
      <c r="O303" s="1007"/>
      <c r="P303" s="1007"/>
      <c r="Q303" s="1008"/>
    </row>
    <row r="304" spans="1:17" hidden="1">
      <c r="A304" s="966"/>
      <c r="B304" s="967"/>
      <c r="C304" s="967">
        <v>259</v>
      </c>
      <c r="D304" s="967"/>
      <c r="E304" s="968"/>
      <c r="F304" s="968"/>
      <c r="G304" s="968"/>
      <c r="H304" s="968"/>
      <c r="I304" s="968"/>
      <c r="J304" s="968"/>
      <c r="K304" s="967"/>
      <c r="L304" s="967"/>
      <c r="M304" s="967"/>
      <c r="N304" s="967"/>
      <c r="O304" s="1007"/>
      <c r="P304" s="1007"/>
      <c r="Q304" s="1008"/>
    </row>
    <row r="305" spans="1:17" hidden="1">
      <c r="A305" s="966"/>
      <c r="B305" s="967"/>
      <c r="C305" s="967">
        <v>260</v>
      </c>
      <c r="D305" s="967"/>
      <c r="E305" s="968"/>
      <c r="F305" s="968"/>
      <c r="G305" s="968"/>
      <c r="H305" s="968"/>
      <c r="I305" s="968"/>
      <c r="J305" s="968"/>
      <c r="K305" s="967"/>
      <c r="L305" s="967"/>
      <c r="M305" s="967"/>
      <c r="N305" s="967"/>
      <c r="O305" s="1007"/>
      <c r="P305" s="1007"/>
      <c r="Q305" s="1008"/>
    </row>
    <row r="306" spans="1:17" hidden="1">
      <c r="A306" s="966"/>
      <c r="B306" s="967"/>
      <c r="C306" s="967">
        <v>261</v>
      </c>
      <c r="D306" s="967"/>
      <c r="E306" s="968"/>
      <c r="F306" s="968"/>
      <c r="G306" s="968"/>
      <c r="H306" s="968"/>
      <c r="I306" s="968"/>
      <c r="J306" s="968"/>
      <c r="K306" s="967"/>
      <c r="L306" s="967"/>
      <c r="M306" s="967"/>
      <c r="N306" s="967"/>
      <c r="O306" s="1007"/>
      <c r="P306" s="1007"/>
      <c r="Q306" s="1008"/>
    </row>
    <row r="307" spans="1:17" hidden="1">
      <c r="A307" s="966"/>
      <c r="B307" s="967"/>
      <c r="C307" s="967">
        <v>262</v>
      </c>
      <c r="D307" s="967"/>
      <c r="E307" s="968"/>
      <c r="F307" s="968"/>
      <c r="G307" s="968"/>
      <c r="H307" s="968"/>
      <c r="I307" s="968"/>
      <c r="J307" s="968"/>
      <c r="K307" s="967"/>
      <c r="L307" s="967"/>
      <c r="M307" s="967"/>
      <c r="N307" s="967"/>
      <c r="O307" s="1007"/>
      <c r="P307" s="1007"/>
      <c r="Q307" s="1008"/>
    </row>
    <row r="308" spans="1:17" hidden="1">
      <c r="A308" s="966"/>
      <c r="B308" s="967"/>
      <c r="C308" s="967">
        <v>263</v>
      </c>
      <c r="D308" s="967"/>
      <c r="E308" s="968"/>
      <c r="F308" s="968"/>
      <c r="G308" s="968"/>
      <c r="H308" s="968"/>
      <c r="I308" s="968"/>
      <c r="J308" s="968"/>
      <c r="K308" s="967"/>
      <c r="L308" s="967"/>
      <c r="M308" s="967"/>
      <c r="N308" s="967"/>
      <c r="O308" s="1007"/>
      <c r="P308" s="1007"/>
      <c r="Q308" s="1008"/>
    </row>
    <row r="309" spans="1:17" hidden="1">
      <c r="A309" s="966"/>
      <c r="B309" s="967"/>
      <c r="C309" s="967">
        <v>264</v>
      </c>
      <c r="D309" s="967"/>
      <c r="E309" s="968"/>
      <c r="F309" s="968"/>
      <c r="G309" s="968"/>
      <c r="H309" s="968"/>
      <c r="I309" s="968"/>
      <c r="J309" s="968"/>
      <c r="K309" s="967"/>
      <c r="L309" s="967"/>
      <c r="M309" s="967"/>
      <c r="N309" s="967"/>
      <c r="O309" s="1007"/>
      <c r="P309" s="1007"/>
      <c r="Q309" s="1008"/>
    </row>
    <row r="310" spans="1:17" hidden="1">
      <c r="A310" s="966"/>
      <c r="B310" s="967"/>
      <c r="C310" s="967">
        <v>265</v>
      </c>
      <c r="D310" s="967"/>
      <c r="E310" s="968"/>
      <c r="F310" s="968"/>
      <c r="G310" s="968"/>
      <c r="H310" s="968"/>
      <c r="I310" s="968"/>
      <c r="J310" s="968"/>
      <c r="K310" s="967"/>
      <c r="L310" s="967"/>
      <c r="M310" s="967"/>
      <c r="N310" s="967"/>
      <c r="O310" s="1007"/>
      <c r="P310" s="1007"/>
      <c r="Q310" s="1008"/>
    </row>
    <row r="311" spans="1:17" hidden="1">
      <c r="A311" s="966"/>
      <c r="B311" s="967"/>
      <c r="C311" s="967">
        <v>266</v>
      </c>
      <c r="D311" s="967"/>
      <c r="E311" s="968"/>
      <c r="F311" s="968"/>
      <c r="G311" s="968"/>
      <c r="H311" s="968"/>
      <c r="I311" s="968"/>
      <c r="J311" s="968"/>
      <c r="K311" s="967"/>
      <c r="L311" s="967"/>
      <c r="M311" s="967"/>
      <c r="N311" s="967"/>
      <c r="O311" s="1007"/>
      <c r="P311" s="1007"/>
      <c r="Q311" s="1008"/>
    </row>
    <row r="312" spans="1:17" hidden="1">
      <c r="A312" s="966"/>
      <c r="B312" s="967"/>
      <c r="C312" s="967">
        <v>267</v>
      </c>
      <c r="D312" s="967"/>
      <c r="E312" s="968"/>
      <c r="F312" s="968"/>
      <c r="G312" s="968"/>
      <c r="H312" s="968"/>
      <c r="I312" s="968"/>
      <c r="J312" s="968"/>
      <c r="K312" s="967"/>
      <c r="L312" s="967"/>
      <c r="M312" s="967"/>
      <c r="N312" s="967"/>
      <c r="O312" s="1007"/>
      <c r="P312" s="1007"/>
      <c r="Q312" s="1008"/>
    </row>
    <row r="313" spans="1:17" hidden="1">
      <c r="A313" s="966"/>
      <c r="B313" s="967"/>
      <c r="C313" s="967">
        <v>268</v>
      </c>
      <c r="D313" s="967"/>
      <c r="E313" s="968"/>
      <c r="F313" s="968"/>
      <c r="G313" s="968"/>
      <c r="H313" s="968"/>
      <c r="I313" s="968"/>
      <c r="J313" s="968"/>
      <c r="K313" s="967"/>
      <c r="L313" s="967"/>
      <c r="M313" s="967"/>
      <c r="N313" s="967"/>
      <c r="O313" s="1007"/>
      <c r="P313" s="1007"/>
      <c r="Q313" s="1008"/>
    </row>
    <row r="314" spans="1:17" hidden="1">
      <c r="A314" s="966"/>
      <c r="B314" s="967"/>
      <c r="C314" s="967">
        <v>269</v>
      </c>
      <c r="D314" s="967"/>
      <c r="E314" s="968"/>
      <c r="F314" s="968"/>
      <c r="G314" s="968"/>
      <c r="H314" s="968"/>
      <c r="I314" s="968"/>
      <c r="J314" s="968"/>
      <c r="K314" s="967"/>
      <c r="L314" s="967"/>
      <c r="M314" s="967"/>
      <c r="N314" s="967"/>
      <c r="O314" s="1007"/>
      <c r="P314" s="1007"/>
      <c r="Q314" s="1008"/>
    </row>
    <row r="315" spans="1:17" hidden="1">
      <c r="A315" s="966"/>
      <c r="B315" s="967"/>
      <c r="C315" s="967">
        <v>270</v>
      </c>
      <c r="D315" s="967"/>
      <c r="E315" s="968"/>
      <c r="F315" s="968"/>
      <c r="G315" s="968"/>
      <c r="H315" s="968"/>
      <c r="I315" s="968"/>
      <c r="J315" s="968"/>
      <c r="K315" s="967"/>
      <c r="L315" s="967"/>
      <c r="M315" s="967"/>
      <c r="N315" s="967"/>
      <c r="O315" s="1007"/>
      <c r="P315" s="1007"/>
      <c r="Q315" s="1008"/>
    </row>
    <row r="316" spans="1:17" hidden="1">
      <c r="A316" s="966"/>
      <c r="B316" s="967"/>
      <c r="C316" s="967">
        <v>271</v>
      </c>
      <c r="D316" s="967"/>
      <c r="E316" s="968"/>
      <c r="F316" s="968"/>
      <c r="G316" s="968"/>
      <c r="H316" s="968"/>
      <c r="I316" s="968"/>
      <c r="J316" s="968"/>
      <c r="K316" s="967"/>
      <c r="L316" s="967"/>
      <c r="M316" s="967"/>
      <c r="N316" s="967"/>
      <c r="O316" s="1007"/>
      <c r="P316" s="1007"/>
      <c r="Q316" s="1008"/>
    </row>
    <row r="317" spans="1:17" hidden="1">
      <c r="A317" s="966"/>
      <c r="B317" s="967"/>
      <c r="C317" s="967">
        <v>272</v>
      </c>
      <c r="D317" s="967"/>
      <c r="E317" s="968"/>
      <c r="F317" s="968"/>
      <c r="G317" s="968"/>
      <c r="H317" s="968"/>
      <c r="I317" s="968"/>
      <c r="J317" s="968"/>
      <c r="K317" s="967"/>
      <c r="L317" s="967"/>
      <c r="M317" s="967"/>
      <c r="N317" s="967"/>
      <c r="O317" s="1007"/>
      <c r="P317" s="1007"/>
      <c r="Q317" s="1008"/>
    </row>
    <row r="318" spans="1:17" hidden="1">
      <c r="A318" s="966"/>
      <c r="B318" s="967"/>
      <c r="C318" s="967">
        <v>273</v>
      </c>
      <c r="D318" s="967"/>
      <c r="E318" s="968"/>
      <c r="F318" s="968"/>
      <c r="G318" s="968"/>
      <c r="H318" s="968"/>
      <c r="I318" s="968"/>
      <c r="J318" s="968"/>
      <c r="K318" s="967"/>
      <c r="L318" s="967"/>
      <c r="M318" s="967"/>
      <c r="N318" s="967"/>
      <c r="O318" s="1007"/>
      <c r="P318" s="1007"/>
      <c r="Q318" s="1008"/>
    </row>
    <row r="319" spans="1:17" hidden="1">
      <c r="A319" s="966"/>
      <c r="B319" s="967"/>
      <c r="C319" s="967">
        <v>274</v>
      </c>
      <c r="D319" s="967"/>
      <c r="E319" s="968"/>
      <c r="F319" s="968"/>
      <c r="G319" s="968"/>
      <c r="H319" s="968"/>
      <c r="I319" s="968"/>
      <c r="J319" s="968"/>
      <c r="K319" s="967"/>
      <c r="L319" s="967"/>
      <c r="M319" s="967"/>
      <c r="N319" s="967"/>
      <c r="O319" s="1007"/>
      <c r="P319" s="1007"/>
      <c r="Q319" s="1008"/>
    </row>
    <row r="320" spans="1:17" hidden="1">
      <c r="A320" s="966"/>
      <c r="B320" s="967"/>
      <c r="C320" s="967">
        <v>275</v>
      </c>
      <c r="D320" s="967"/>
      <c r="E320" s="968"/>
      <c r="F320" s="968"/>
      <c r="G320" s="968"/>
      <c r="H320" s="968"/>
      <c r="I320" s="968"/>
      <c r="J320" s="968"/>
      <c r="K320" s="967"/>
      <c r="L320" s="967"/>
      <c r="M320" s="967"/>
      <c r="N320" s="967"/>
      <c r="O320" s="1007"/>
      <c r="P320" s="1007"/>
      <c r="Q320" s="1008"/>
    </row>
    <row r="321" spans="1:17" hidden="1">
      <c r="A321" s="966"/>
      <c r="B321" s="967"/>
      <c r="C321" s="967">
        <v>276</v>
      </c>
      <c r="D321" s="967"/>
      <c r="E321" s="968"/>
      <c r="F321" s="968"/>
      <c r="G321" s="968"/>
      <c r="H321" s="968"/>
      <c r="I321" s="968"/>
      <c r="J321" s="968"/>
      <c r="K321" s="967"/>
      <c r="L321" s="967"/>
      <c r="M321" s="967"/>
      <c r="N321" s="967"/>
      <c r="O321" s="1007"/>
      <c r="P321" s="1007"/>
      <c r="Q321" s="1008"/>
    </row>
    <row r="322" spans="1:17" hidden="1">
      <c r="A322" s="966"/>
      <c r="B322" s="967"/>
      <c r="C322" s="967">
        <v>277</v>
      </c>
      <c r="D322" s="967"/>
      <c r="E322" s="968"/>
      <c r="F322" s="968"/>
      <c r="G322" s="968"/>
      <c r="H322" s="968"/>
      <c r="I322" s="968"/>
      <c r="J322" s="968"/>
      <c r="K322" s="967"/>
      <c r="L322" s="967"/>
      <c r="M322" s="967"/>
      <c r="N322" s="967"/>
      <c r="O322" s="1007"/>
      <c r="P322" s="1007"/>
      <c r="Q322" s="1008"/>
    </row>
    <row r="323" spans="1:17" hidden="1">
      <c r="A323" s="966"/>
      <c r="B323" s="967"/>
      <c r="C323" s="967">
        <v>278</v>
      </c>
      <c r="D323" s="967"/>
      <c r="E323" s="968"/>
      <c r="F323" s="968"/>
      <c r="G323" s="968"/>
      <c r="H323" s="968"/>
      <c r="I323" s="968"/>
      <c r="J323" s="968"/>
      <c r="K323" s="967"/>
      <c r="L323" s="967"/>
      <c r="M323" s="967"/>
      <c r="N323" s="967"/>
      <c r="O323" s="1007"/>
      <c r="P323" s="1007"/>
      <c r="Q323" s="1008"/>
    </row>
    <row r="324" spans="1:17" hidden="1">
      <c r="A324" s="966"/>
      <c r="B324" s="967"/>
      <c r="C324" s="967">
        <v>279</v>
      </c>
      <c r="D324" s="967"/>
      <c r="E324" s="968"/>
      <c r="F324" s="968"/>
      <c r="G324" s="968"/>
      <c r="H324" s="968"/>
      <c r="I324" s="968"/>
      <c r="J324" s="968"/>
      <c r="K324" s="967"/>
      <c r="L324" s="967"/>
      <c r="M324" s="967"/>
      <c r="N324" s="967"/>
      <c r="O324" s="1007"/>
      <c r="P324" s="1007"/>
      <c r="Q324" s="1008"/>
    </row>
    <row r="325" spans="1:17" hidden="1">
      <c r="A325" s="966"/>
      <c r="B325" s="967"/>
      <c r="C325" s="967">
        <v>280</v>
      </c>
      <c r="D325" s="967"/>
      <c r="E325" s="968"/>
      <c r="F325" s="968"/>
      <c r="G325" s="968"/>
      <c r="H325" s="968"/>
      <c r="I325" s="968"/>
      <c r="J325" s="968"/>
      <c r="K325" s="967"/>
      <c r="L325" s="967"/>
      <c r="M325" s="967"/>
      <c r="N325" s="967"/>
      <c r="O325" s="1007"/>
      <c r="P325" s="1007"/>
      <c r="Q325" s="1008"/>
    </row>
    <row r="326" spans="1:17" hidden="1">
      <c r="A326" s="966"/>
      <c r="B326" s="967"/>
      <c r="C326" s="967">
        <v>281</v>
      </c>
      <c r="D326" s="967"/>
      <c r="E326" s="968"/>
      <c r="F326" s="968"/>
      <c r="G326" s="968"/>
      <c r="H326" s="968"/>
      <c r="I326" s="968"/>
      <c r="J326" s="968"/>
      <c r="K326" s="967"/>
      <c r="L326" s="967"/>
      <c r="M326" s="967"/>
      <c r="N326" s="967"/>
      <c r="O326" s="1007"/>
      <c r="P326" s="1007"/>
      <c r="Q326" s="1008"/>
    </row>
    <row r="327" spans="1:17" hidden="1">
      <c r="A327" s="966"/>
      <c r="B327" s="967"/>
      <c r="C327" s="967">
        <v>282</v>
      </c>
      <c r="D327" s="967"/>
      <c r="E327" s="968"/>
      <c r="F327" s="968"/>
      <c r="G327" s="968"/>
      <c r="H327" s="968"/>
      <c r="I327" s="968"/>
      <c r="J327" s="968"/>
      <c r="K327" s="967"/>
      <c r="L327" s="967"/>
      <c r="M327" s="967"/>
      <c r="N327" s="967"/>
      <c r="O327" s="1007"/>
      <c r="P327" s="1007"/>
      <c r="Q327" s="1008"/>
    </row>
    <row r="328" spans="1:17" hidden="1">
      <c r="A328" s="966"/>
      <c r="B328" s="967"/>
      <c r="C328" s="967">
        <v>283</v>
      </c>
      <c r="D328" s="967"/>
      <c r="E328" s="968"/>
      <c r="F328" s="968"/>
      <c r="G328" s="968"/>
      <c r="H328" s="968"/>
      <c r="I328" s="968"/>
      <c r="J328" s="968"/>
      <c r="K328" s="967"/>
      <c r="L328" s="967"/>
      <c r="M328" s="967"/>
      <c r="N328" s="967"/>
      <c r="O328" s="1007"/>
      <c r="P328" s="1007"/>
      <c r="Q328" s="1008"/>
    </row>
    <row r="329" spans="1:17" hidden="1">
      <c r="A329" s="966"/>
      <c r="B329" s="967"/>
      <c r="C329" s="967">
        <v>284</v>
      </c>
      <c r="D329" s="967"/>
      <c r="E329" s="968"/>
      <c r="F329" s="968"/>
      <c r="G329" s="968"/>
      <c r="H329" s="968"/>
      <c r="I329" s="968"/>
      <c r="J329" s="968"/>
      <c r="K329" s="967"/>
      <c r="L329" s="967"/>
      <c r="M329" s="967"/>
      <c r="N329" s="967"/>
      <c r="O329" s="1007"/>
      <c r="P329" s="1007"/>
      <c r="Q329" s="1008"/>
    </row>
    <row r="330" spans="1:17" hidden="1">
      <c r="A330" s="966"/>
      <c r="B330" s="967"/>
      <c r="C330" s="967">
        <v>285</v>
      </c>
      <c r="D330" s="967"/>
      <c r="E330" s="968"/>
      <c r="F330" s="968"/>
      <c r="G330" s="968"/>
      <c r="H330" s="968"/>
      <c r="I330" s="968"/>
      <c r="J330" s="968"/>
      <c r="K330" s="967"/>
      <c r="L330" s="967"/>
      <c r="M330" s="967"/>
      <c r="N330" s="967"/>
      <c r="O330" s="1007"/>
      <c r="P330" s="1007"/>
      <c r="Q330" s="1008"/>
    </row>
    <row r="331" spans="1:17" hidden="1">
      <c r="A331" s="966"/>
      <c r="B331" s="967"/>
      <c r="C331" s="967">
        <v>286</v>
      </c>
      <c r="D331" s="967"/>
      <c r="E331" s="968"/>
      <c r="F331" s="968"/>
      <c r="G331" s="968"/>
      <c r="H331" s="968"/>
      <c r="I331" s="968"/>
      <c r="J331" s="968"/>
      <c r="K331" s="967"/>
      <c r="L331" s="967"/>
      <c r="M331" s="967"/>
      <c r="N331" s="967"/>
      <c r="O331" s="1007"/>
      <c r="P331" s="1007"/>
      <c r="Q331" s="1008"/>
    </row>
    <row r="332" spans="1:17" hidden="1">
      <c r="A332" s="966"/>
      <c r="B332" s="967"/>
      <c r="C332" s="967">
        <v>287</v>
      </c>
      <c r="D332" s="967"/>
      <c r="E332" s="968"/>
      <c r="F332" s="968"/>
      <c r="G332" s="968"/>
      <c r="H332" s="968"/>
      <c r="I332" s="968"/>
      <c r="J332" s="968"/>
      <c r="K332" s="967"/>
      <c r="L332" s="967"/>
      <c r="M332" s="967"/>
      <c r="N332" s="967"/>
      <c r="O332" s="1007"/>
      <c r="P332" s="1007"/>
      <c r="Q332" s="1008"/>
    </row>
    <row r="333" spans="1:17" hidden="1">
      <c r="A333" s="966"/>
      <c r="B333" s="967"/>
      <c r="C333" s="967">
        <v>288</v>
      </c>
      <c r="D333" s="967"/>
      <c r="E333" s="968"/>
      <c r="F333" s="968"/>
      <c r="G333" s="968"/>
      <c r="H333" s="968"/>
      <c r="I333" s="968"/>
      <c r="J333" s="968"/>
      <c r="K333" s="967"/>
      <c r="L333" s="967"/>
      <c r="M333" s="967"/>
      <c r="N333" s="967"/>
      <c r="O333" s="1007"/>
      <c r="P333" s="1007"/>
      <c r="Q333" s="1008"/>
    </row>
    <row r="334" spans="1:17" hidden="1">
      <c r="A334" s="966"/>
      <c r="B334" s="967"/>
      <c r="C334" s="967">
        <v>289</v>
      </c>
      <c r="D334" s="967"/>
      <c r="E334" s="968"/>
      <c r="F334" s="968"/>
      <c r="G334" s="968"/>
      <c r="H334" s="968"/>
      <c r="I334" s="968"/>
      <c r="J334" s="968"/>
      <c r="K334" s="967"/>
      <c r="L334" s="967"/>
      <c r="M334" s="967"/>
      <c r="N334" s="967"/>
      <c r="O334" s="1007"/>
      <c r="P334" s="1007"/>
      <c r="Q334" s="1008"/>
    </row>
    <row r="335" spans="1:17" hidden="1">
      <c r="A335" s="966"/>
      <c r="B335" s="967"/>
      <c r="C335" s="967">
        <v>290</v>
      </c>
      <c r="D335" s="967"/>
      <c r="E335" s="968"/>
      <c r="F335" s="968"/>
      <c r="G335" s="968"/>
      <c r="H335" s="968"/>
      <c r="I335" s="968"/>
      <c r="J335" s="968"/>
      <c r="K335" s="967"/>
      <c r="L335" s="967"/>
      <c r="M335" s="967"/>
      <c r="N335" s="967"/>
      <c r="O335" s="1007"/>
      <c r="P335" s="1007"/>
      <c r="Q335" s="1008"/>
    </row>
    <row r="336" spans="1:17" hidden="1">
      <c r="A336" s="966"/>
      <c r="B336" s="967"/>
      <c r="C336" s="967">
        <v>291</v>
      </c>
      <c r="D336" s="967"/>
      <c r="E336" s="968"/>
      <c r="F336" s="968"/>
      <c r="G336" s="968"/>
      <c r="H336" s="968"/>
      <c r="I336" s="968"/>
      <c r="J336" s="968"/>
      <c r="K336" s="967"/>
      <c r="L336" s="967"/>
      <c r="M336" s="967"/>
      <c r="N336" s="967"/>
      <c r="O336" s="1007"/>
      <c r="P336" s="1007"/>
      <c r="Q336" s="1008"/>
    </row>
    <row r="337" spans="1:17" hidden="1">
      <c r="A337" s="966"/>
      <c r="B337" s="967"/>
      <c r="C337" s="967">
        <v>292</v>
      </c>
      <c r="D337" s="967"/>
      <c r="E337" s="968"/>
      <c r="F337" s="968"/>
      <c r="G337" s="968"/>
      <c r="H337" s="968"/>
      <c r="I337" s="968"/>
      <c r="J337" s="968"/>
      <c r="K337" s="967"/>
      <c r="L337" s="967"/>
      <c r="M337" s="967"/>
      <c r="N337" s="967"/>
      <c r="O337" s="1007"/>
      <c r="P337" s="1007"/>
      <c r="Q337" s="1008"/>
    </row>
    <row r="338" spans="1:17" hidden="1">
      <c r="A338" s="966"/>
      <c r="B338" s="967"/>
      <c r="C338" s="967">
        <v>293</v>
      </c>
      <c r="D338" s="967"/>
      <c r="E338" s="968"/>
      <c r="F338" s="968"/>
      <c r="G338" s="968"/>
      <c r="H338" s="968"/>
      <c r="I338" s="968"/>
      <c r="J338" s="968"/>
      <c r="K338" s="967"/>
      <c r="L338" s="967"/>
      <c r="M338" s="967"/>
      <c r="N338" s="967"/>
      <c r="O338" s="1007"/>
      <c r="P338" s="1007"/>
      <c r="Q338" s="1008"/>
    </row>
    <row r="339" spans="1:17" hidden="1">
      <c r="A339" s="966"/>
      <c r="B339" s="967"/>
      <c r="C339" s="967">
        <v>294</v>
      </c>
      <c r="D339" s="967"/>
      <c r="E339" s="968"/>
      <c r="F339" s="968"/>
      <c r="G339" s="968"/>
      <c r="H339" s="968"/>
      <c r="I339" s="968"/>
      <c r="J339" s="968"/>
      <c r="K339" s="967"/>
      <c r="L339" s="967"/>
      <c r="M339" s="967"/>
      <c r="N339" s="967"/>
      <c r="O339" s="1007"/>
      <c r="P339" s="1007"/>
      <c r="Q339" s="1008"/>
    </row>
    <row r="340" spans="1:17" hidden="1">
      <c r="A340" s="966"/>
      <c r="B340" s="967"/>
      <c r="C340" s="967">
        <v>295</v>
      </c>
      <c r="D340" s="967"/>
      <c r="E340" s="968"/>
      <c r="F340" s="968"/>
      <c r="G340" s="968"/>
      <c r="H340" s="968"/>
      <c r="I340" s="968"/>
      <c r="J340" s="968"/>
      <c r="K340" s="967"/>
      <c r="L340" s="967"/>
      <c r="M340" s="967"/>
      <c r="N340" s="967"/>
      <c r="O340" s="1007"/>
      <c r="P340" s="1007"/>
      <c r="Q340" s="1008"/>
    </row>
    <row r="341" spans="1:17" hidden="1">
      <c r="A341" s="966"/>
      <c r="B341" s="967"/>
      <c r="C341" s="967">
        <v>296</v>
      </c>
      <c r="D341" s="967"/>
      <c r="E341" s="968"/>
      <c r="F341" s="968"/>
      <c r="G341" s="968"/>
      <c r="H341" s="968"/>
      <c r="I341" s="968"/>
      <c r="J341" s="968"/>
      <c r="K341" s="967"/>
      <c r="L341" s="967"/>
      <c r="M341" s="967"/>
      <c r="N341" s="967"/>
      <c r="O341" s="1007"/>
      <c r="P341" s="1007"/>
      <c r="Q341" s="1008"/>
    </row>
    <row r="342" spans="1:17" hidden="1">
      <c r="A342" s="966"/>
      <c r="B342" s="967"/>
      <c r="C342" s="967">
        <v>297</v>
      </c>
      <c r="D342" s="967"/>
      <c r="E342" s="968"/>
      <c r="F342" s="968"/>
      <c r="G342" s="968"/>
      <c r="H342" s="968"/>
      <c r="I342" s="968"/>
      <c r="J342" s="968"/>
      <c r="K342" s="967"/>
      <c r="L342" s="967"/>
      <c r="M342" s="967"/>
      <c r="N342" s="967"/>
      <c r="O342" s="1007"/>
      <c r="P342" s="1007"/>
      <c r="Q342" s="1008"/>
    </row>
    <row r="343" spans="1:17" hidden="1">
      <c r="A343" s="966"/>
      <c r="B343" s="967"/>
      <c r="C343" s="967">
        <v>298</v>
      </c>
      <c r="D343" s="967"/>
      <c r="E343" s="968"/>
      <c r="F343" s="968"/>
      <c r="G343" s="968"/>
      <c r="H343" s="968"/>
      <c r="I343" s="968"/>
      <c r="J343" s="968"/>
      <c r="K343" s="967"/>
      <c r="L343" s="967"/>
      <c r="M343" s="967"/>
      <c r="N343" s="967"/>
      <c r="O343" s="1007"/>
      <c r="P343" s="1007"/>
      <c r="Q343" s="1008"/>
    </row>
    <row r="344" spans="1:17" hidden="1">
      <c r="A344" s="966"/>
      <c r="B344" s="967"/>
      <c r="C344" s="967">
        <v>299</v>
      </c>
      <c r="D344" s="967"/>
      <c r="E344" s="968"/>
      <c r="F344" s="968"/>
      <c r="G344" s="968"/>
      <c r="H344" s="968"/>
      <c r="I344" s="968"/>
      <c r="J344" s="968"/>
      <c r="K344" s="967"/>
      <c r="L344" s="967"/>
      <c r="M344" s="967"/>
      <c r="N344" s="967"/>
      <c r="O344" s="1007"/>
      <c r="P344" s="1007"/>
      <c r="Q344" s="1008"/>
    </row>
    <row r="345" spans="1:17" hidden="1">
      <c r="A345" s="966"/>
      <c r="B345" s="967"/>
      <c r="C345" s="967">
        <v>300</v>
      </c>
      <c r="D345" s="967"/>
      <c r="E345" s="968"/>
      <c r="F345" s="968"/>
      <c r="G345" s="968"/>
      <c r="H345" s="968"/>
      <c r="I345" s="968"/>
      <c r="J345" s="968"/>
      <c r="K345" s="967"/>
      <c r="L345" s="967"/>
      <c r="M345" s="967"/>
      <c r="N345" s="967"/>
      <c r="O345" s="1007"/>
      <c r="P345" s="1007"/>
      <c r="Q345" s="1008"/>
    </row>
    <row r="346" spans="1:17" hidden="1">
      <c r="A346" s="966"/>
      <c r="B346" s="967"/>
      <c r="C346" s="967">
        <v>301</v>
      </c>
      <c r="D346" s="967"/>
      <c r="E346" s="968"/>
      <c r="F346" s="968"/>
      <c r="G346" s="968"/>
      <c r="H346" s="968"/>
      <c r="I346" s="968"/>
      <c r="J346" s="968"/>
      <c r="K346" s="967"/>
      <c r="L346" s="967"/>
      <c r="M346" s="967"/>
      <c r="N346" s="967"/>
      <c r="O346" s="1007"/>
      <c r="P346" s="1007"/>
      <c r="Q346" s="1008"/>
    </row>
    <row r="347" spans="1:17" hidden="1">
      <c r="A347" s="966"/>
      <c r="B347" s="967"/>
      <c r="C347" s="967">
        <v>302</v>
      </c>
      <c r="D347" s="967"/>
      <c r="E347" s="968"/>
      <c r="F347" s="968"/>
      <c r="G347" s="968"/>
      <c r="H347" s="968"/>
      <c r="I347" s="968"/>
      <c r="J347" s="968"/>
      <c r="K347" s="967"/>
      <c r="L347" s="967"/>
      <c r="M347" s="967"/>
      <c r="N347" s="967"/>
      <c r="O347" s="1007"/>
      <c r="P347" s="1007"/>
      <c r="Q347" s="1008"/>
    </row>
    <row r="348" spans="1:17" hidden="1">
      <c r="A348" s="966"/>
      <c r="B348" s="967"/>
      <c r="C348" s="967">
        <v>303</v>
      </c>
      <c r="D348" s="967"/>
      <c r="E348" s="968"/>
      <c r="F348" s="968"/>
      <c r="G348" s="968"/>
      <c r="H348" s="968"/>
      <c r="I348" s="968"/>
      <c r="J348" s="968"/>
      <c r="K348" s="967"/>
      <c r="L348" s="967"/>
      <c r="M348" s="967"/>
      <c r="N348" s="967"/>
      <c r="O348" s="1007"/>
      <c r="P348" s="1007"/>
      <c r="Q348" s="1008"/>
    </row>
    <row r="349" spans="1:17" hidden="1">
      <c r="A349" s="966"/>
      <c r="B349" s="967"/>
      <c r="C349" s="967">
        <v>304</v>
      </c>
      <c r="D349" s="967"/>
      <c r="E349" s="968"/>
      <c r="F349" s="968"/>
      <c r="G349" s="968"/>
      <c r="H349" s="968"/>
      <c r="I349" s="968"/>
      <c r="J349" s="968"/>
      <c r="K349" s="967"/>
      <c r="L349" s="967"/>
      <c r="M349" s="967"/>
      <c r="N349" s="967"/>
      <c r="O349" s="1007"/>
      <c r="P349" s="1007"/>
      <c r="Q349" s="1008"/>
    </row>
    <row r="350" spans="1:17" hidden="1">
      <c r="A350" s="966"/>
      <c r="B350" s="967"/>
      <c r="C350" s="967">
        <v>305</v>
      </c>
      <c r="D350" s="967"/>
      <c r="E350" s="968"/>
      <c r="F350" s="968"/>
      <c r="G350" s="968"/>
      <c r="H350" s="968"/>
      <c r="I350" s="968"/>
      <c r="J350" s="968"/>
      <c r="K350" s="967"/>
      <c r="L350" s="967"/>
      <c r="M350" s="967"/>
      <c r="N350" s="967"/>
      <c r="O350" s="1007"/>
      <c r="P350" s="1007"/>
      <c r="Q350" s="1008"/>
    </row>
    <row r="351" spans="1:17" hidden="1">
      <c r="A351" s="966"/>
      <c r="B351" s="967"/>
      <c r="C351" s="967">
        <v>306</v>
      </c>
      <c r="D351" s="967"/>
      <c r="E351" s="968"/>
      <c r="F351" s="968"/>
      <c r="G351" s="968"/>
      <c r="H351" s="968"/>
      <c r="I351" s="968"/>
      <c r="J351" s="968"/>
      <c r="K351" s="967"/>
      <c r="L351" s="967"/>
      <c r="M351" s="967"/>
      <c r="N351" s="967"/>
      <c r="O351" s="1007"/>
      <c r="P351" s="1007"/>
      <c r="Q351" s="1008"/>
    </row>
    <row r="352" spans="1:17" hidden="1">
      <c r="A352" s="966"/>
      <c r="B352" s="967"/>
      <c r="C352" s="967">
        <v>307</v>
      </c>
      <c r="D352" s="967"/>
      <c r="E352" s="968"/>
      <c r="F352" s="968"/>
      <c r="G352" s="968"/>
      <c r="H352" s="968"/>
      <c r="I352" s="968"/>
      <c r="J352" s="968"/>
      <c r="K352" s="967"/>
      <c r="L352" s="967"/>
      <c r="M352" s="967"/>
      <c r="N352" s="967"/>
      <c r="O352" s="1007"/>
      <c r="P352" s="1007"/>
      <c r="Q352" s="1008"/>
    </row>
    <row r="353" spans="1:17" hidden="1">
      <c r="A353" s="966"/>
      <c r="B353" s="967"/>
      <c r="C353" s="967">
        <v>308</v>
      </c>
      <c r="D353" s="967"/>
      <c r="E353" s="968"/>
      <c r="F353" s="968"/>
      <c r="G353" s="968"/>
      <c r="H353" s="968"/>
      <c r="I353" s="968"/>
      <c r="J353" s="968"/>
      <c r="K353" s="967"/>
      <c r="L353" s="967"/>
      <c r="M353" s="967"/>
      <c r="N353" s="967"/>
      <c r="O353" s="1007"/>
      <c r="P353" s="1007"/>
      <c r="Q353" s="1008"/>
    </row>
    <row r="354" spans="1:17" hidden="1">
      <c r="A354" s="966"/>
      <c r="B354" s="967"/>
      <c r="C354" s="967">
        <v>309</v>
      </c>
      <c r="D354" s="967"/>
      <c r="E354" s="968"/>
      <c r="F354" s="968"/>
      <c r="G354" s="968"/>
      <c r="H354" s="968"/>
      <c r="I354" s="968"/>
      <c r="J354" s="968"/>
      <c r="K354" s="967"/>
      <c r="L354" s="967"/>
      <c r="M354" s="967"/>
      <c r="N354" s="967"/>
      <c r="O354" s="1007"/>
      <c r="P354" s="1007"/>
      <c r="Q354" s="1008"/>
    </row>
    <row r="355" spans="1:17" hidden="1">
      <c r="A355" s="966"/>
      <c r="B355" s="967"/>
      <c r="C355" s="967">
        <v>310</v>
      </c>
      <c r="D355" s="967"/>
      <c r="E355" s="968"/>
      <c r="F355" s="968"/>
      <c r="G355" s="968"/>
      <c r="H355" s="968"/>
      <c r="I355" s="968"/>
      <c r="J355" s="968"/>
      <c r="K355" s="967"/>
      <c r="L355" s="967"/>
      <c r="M355" s="967"/>
      <c r="N355" s="967"/>
      <c r="O355" s="1007"/>
      <c r="P355" s="1007"/>
      <c r="Q355" s="1008"/>
    </row>
    <row r="356" spans="1:17" hidden="1">
      <c r="A356" s="966"/>
      <c r="B356" s="967"/>
      <c r="C356" s="967">
        <v>311</v>
      </c>
      <c r="D356" s="967"/>
      <c r="E356" s="968"/>
      <c r="F356" s="968"/>
      <c r="G356" s="968"/>
      <c r="H356" s="968"/>
      <c r="I356" s="968"/>
      <c r="J356" s="968"/>
      <c r="K356" s="967"/>
      <c r="L356" s="967"/>
      <c r="M356" s="967"/>
      <c r="N356" s="967"/>
      <c r="O356" s="1007"/>
      <c r="P356" s="1007"/>
      <c r="Q356" s="1008"/>
    </row>
    <row r="357" spans="1:17" hidden="1">
      <c r="A357" s="966"/>
      <c r="B357" s="967"/>
      <c r="C357" s="967">
        <v>312</v>
      </c>
      <c r="D357" s="967"/>
      <c r="E357" s="968"/>
      <c r="F357" s="968"/>
      <c r="G357" s="968"/>
      <c r="H357" s="968"/>
      <c r="I357" s="968"/>
      <c r="J357" s="968"/>
      <c r="K357" s="967"/>
      <c r="L357" s="967"/>
      <c r="M357" s="967"/>
      <c r="N357" s="967"/>
      <c r="O357" s="1007"/>
      <c r="P357" s="1007"/>
      <c r="Q357" s="1008"/>
    </row>
    <row r="358" spans="1:17" hidden="1">
      <c r="A358" s="966"/>
      <c r="B358" s="967"/>
      <c r="C358" s="967">
        <v>313</v>
      </c>
      <c r="D358" s="967"/>
      <c r="E358" s="968"/>
      <c r="F358" s="968"/>
      <c r="G358" s="968"/>
      <c r="H358" s="968"/>
      <c r="I358" s="968"/>
      <c r="J358" s="968"/>
      <c r="K358" s="967"/>
      <c r="L358" s="967"/>
      <c r="M358" s="967"/>
      <c r="N358" s="967"/>
      <c r="O358" s="1007"/>
      <c r="P358" s="1007"/>
      <c r="Q358" s="1008"/>
    </row>
    <row r="359" spans="1:17" hidden="1">
      <c r="A359" s="966"/>
      <c r="B359" s="967"/>
      <c r="C359" s="967">
        <v>314</v>
      </c>
      <c r="D359" s="967"/>
      <c r="E359" s="968"/>
      <c r="F359" s="968"/>
      <c r="G359" s="968"/>
      <c r="H359" s="968"/>
      <c r="I359" s="968"/>
      <c r="J359" s="968"/>
      <c r="K359" s="967"/>
      <c r="L359" s="967"/>
      <c r="M359" s="967"/>
      <c r="N359" s="967"/>
      <c r="O359" s="1007"/>
      <c r="P359" s="1007"/>
      <c r="Q359" s="1008"/>
    </row>
    <row r="360" spans="1:17" hidden="1">
      <c r="A360" s="966"/>
      <c r="B360" s="967"/>
      <c r="C360" s="967">
        <v>315</v>
      </c>
      <c r="D360" s="967"/>
      <c r="E360" s="968"/>
      <c r="F360" s="968"/>
      <c r="G360" s="968"/>
      <c r="H360" s="968"/>
      <c r="I360" s="968"/>
      <c r="J360" s="968"/>
      <c r="K360" s="967"/>
      <c r="L360" s="967"/>
      <c r="M360" s="967"/>
      <c r="N360" s="967"/>
      <c r="O360" s="1007"/>
      <c r="P360" s="1007"/>
      <c r="Q360" s="1008"/>
    </row>
    <row r="361" spans="1:17" hidden="1">
      <c r="A361" s="966"/>
      <c r="B361" s="967"/>
      <c r="C361" s="967">
        <v>316</v>
      </c>
      <c r="D361" s="967"/>
      <c r="E361" s="968"/>
      <c r="F361" s="968"/>
      <c r="G361" s="968"/>
      <c r="H361" s="968"/>
      <c r="I361" s="968"/>
      <c r="J361" s="968"/>
      <c r="K361" s="967"/>
      <c r="L361" s="967"/>
      <c r="M361" s="967"/>
      <c r="N361" s="967"/>
      <c r="O361" s="1007"/>
      <c r="P361" s="1007"/>
      <c r="Q361" s="1008"/>
    </row>
    <row r="362" spans="1:17" hidden="1">
      <c r="A362" s="966"/>
      <c r="B362" s="967"/>
      <c r="C362" s="967">
        <v>317</v>
      </c>
      <c r="D362" s="967"/>
      <c r="E362" s="968"/>
      <c r="F362" s="968"/>
      <c r="G362" s="968"/>
      <c r="H362" s="968"/>
      <c r="I362" s="968"/>
      <c r="J362" s="968"/>
      <c r="K362" s="967"/>
      <c r="L362" s="967"/>
      <c r="M362" s="967"/>
      <c r="N362" s="967"/>
      <c r="O362" s="1007"/>
      <c r="P362" s="1007"/>
      <c r="Q362" s="1008"/>
    </row>
    <row r="363" spans="1:17" hidden="1">
      <c r="A363" s="966"/>
      <c r="B363" s="967"/>
      <c r="C363" s="967">
        <v>318</v>
      </c>
      <c r="D363" s="967"/>
      <c r="E363" s="968"/>
      <c r="F363" s="968"/>
      <c r="G363" s="968"/>
      <c r="H363" s="968"/>
      <c r="I363" s="968"/>
      <c r="J363" s="968"/>
      <c r="K363" s="967"/>
      <c r="L363" s="967"/>
      <c r="M363" s="967"/>
      <c r="N363" s="967"/>
      <c r="O363" s="1007"/>
      <c r="P363" s="1007"/>
      <c r="Q363" s="1008"/>
    </row>
    <row r="364" spans="1:17" hidden="1">
      <c r="A364" s="966"/>
      <c r="B364" s="967"/>
      <c r="C364" s="967">
        <v>319</v>
      </c>
      <c r="D364" s="967"/>
      <c r="E364" s="968"/>
      <c r="F364" s="968"/>
      <c r="G364" s="968"/>
      <c r="H364" s="968"/>
      <c r="I364" s="968"/>
      <c r="J364" s="968"/>
      <c r="K364" s="967"/>
      <c r="L364" s="967"/>
      <c r="M364" s="967"/>
      <c r="N364" s="967"/>
      <c r="O364" s="1007"/>
      <c r="P364" s="1007"/>
      <c r="Q364" s="1008"/>
    </row>
    <row r="365" spans="1:17" hidden="1">
      <c r="A365" s="966"/>
      <c r="B365" s="967"/>
      <c r="C365" s="967">
        <v>320</v>
      </c>
      <c r="D365" s="967"/>
      <c r="E365" s="968"/>
      <c r="F365" s="968"/>
      <c r="G365" s="968"/>
      <c r="H365" s="968"/>
      <c r="I365" s="968"/>
      <c r="J365" s="968"/>
      <c r="K365" s="967"/>
      <c r="L365" s="967"/>
      <c r="M365" s="967"/>
      <c r="N365" s="967"/>
      <c r="O365" s="1007"/>
      <c r="P365" s="1007"/>
      <c r="Q365" s="1008"/>
    </row>
    <row r="366" spans="1:17" hidden="1">
      <c r="A366" s="966"/>
      <c r="B366" s="967"/>
      <c r="C366" s="967">
        <v>321</v>
      </c>
      <c r="D366" s="967"/>
      <c r="E366" s="968"/>
      <c r="F366" s="968"/>
      <c r="G366" s="968"/>
      <c r="H366" s="968"/>
      <c r="I366" s="968"/>
      <c r="J366" s="968"/>
      <c r="K366" s="967"/>
      <c r="L366" s="967"/>
      <c r="M366" s="967"/>
      <c r="N366" s="967"/>
      <c r="O366" s="1007"/>
      <c r="P366" s="1007"/>
      <c r="Q366" s="1008"/>
    </row>
    <row r="367" spans="1:17" hidden="1">
      <c r="A367" s="966"/>
      <c r="B367" s="967"/>
      <c r="C367" s="967">
        <v>322</v>
      </c>
      <c r="D367" s="967"/>
      <c r="E367" s="968"/>
      <c r="F367" s="968"/>
      <c r="G367" s="968"/>
      <c r="H367" s="968"/>
      <c r="I367" s="968"/>
      <c r="J367" s="968"/>
      <c r="K367" s="967"/>
      <c r="L367" s="967"/>
      <c r="M367" s="967"/>
      <c r="N367" s="967"/>
      <c r="O367" s="1007"/>
      <c r="P367" s="1007"/>
      <c r="Q367" s="1008"/>
    </row>
    <row r="368" spans="1:17" hidden="1">
      <c r="A368" s="966"/>
      <c r="B368" s="967"/>
      <c r="C368" s="967">
        <v>323</v>
      </c>
      <c r="D368" s="967"/>
      <c r="E368" s="968"/>
      <c r="F368" s="968"/>
      <c r="G368" s="968"/>
      <c r="H368" s="968"/>
      <c r="I368" s="968"/>
      <c r="J368" s="968"/>
      <c r="K368" s="967"/>
      <c r="L368" s="967"/>
      <c r="M368" s="967"/>
      <c r="N368" s="967"/>
      <c r="O368" s="1007"/>
      <c r="P368" s="1007"/>
      <c r="Q368" s="1008"/>
    </row>
    <row r="369" spans="1:17" hidden="1">
      <c r="A369" s="966"/>
      <c r="B369" s="967"/>
      <c r="C369" s="967">
        <v>324</v>
      </c>
      <c r="D369" s="967"/>
      <c r="E369" s="968"/>
      <c r="F369" s="968"/>
      <c r="G369" s="968"/>
      <c r="H369" s="968"/>
      <c r="I369" s="968"/>
      <c r="J369" s="968"/>
      <c r="K369" s="967"/>
      <c r="L369" s="967"/>
      <c r="M369" s="967"/>
      <c r="N369" s="967"/>
      <c r="O369" s="1007"/>
      <c r="P369" s="1007"/>
      <c r="Q369" s="1008"/>
    </row>
    <row r="370" spans="1:17" hidden="1">
      <c r="A370" s="966"/>
      <c r="B370" s="967"/>
      <c r="C370" s="967">
        <v>325</v>
      </c>
      <c r="D370" s="967"/>
      <c r="E370" s="968"/>
      <c r="F370" s="968"/>
      <c r="G370" s="968"/>
      <c r="H370" s="968"/>
      <c r="I370" s="968"/>
      <c r="J370" s="968"/>
      <c r="K370" s="967"/>
      <c r="L370" s="967"/>
      <c r="M370" s="967"/>
      <c r="N370" s="967"/>
      <c r="O370" s="1007"/>
      <c r="P370" s="1007"/>
      <c r="Q370" s="1008"/>
    </row>
    <row r="371" spans="1:17" hidden="1">
      <c r="A371" s="966"/>
      <c r="B371" s="967"/>
      <c r="C371" s="967">
        <v>326</v>
      </c>
      <c r="D371" s="967"/>
      <c r="E371" s="968"/>
      <c r="F371" s="968"/>
      <c r="G371" s="968"/>
      <c r="H371" s="968"/>
      <c r="I371" s="968"/>
      <c r="J371" s="968"/>
      <c r="K371" s="967"/>
      <c r="L371" s="967"/>
      <c r="M371" s="967"/>
      <c r="N371" s="967"/>
      <c r="O371" s="1007"/>
      <c r="P371" s="1007"/>
      <c r="Q371" s="1008"/>
    </row>
    <row r="372" spans="1:17" hidden="1">
      <c r="A372" s="966"/>
      <c r="B372" s="967"/>
      <c r="C372" s="967">
        <v>327</v>
      </c>
      <c r="D372" s="967"/>
      <c r="E372" s="968"/>
      <c r="F372" s="968"/>
      <c r="G372" s="968"/>
      <c r="H372" s="968"/>
      <c r="I372" s="968"/>
      <c r="J372" s="968"/>
      <c r="K372" s="967"/>
      <c r="L372" s="967"/>
      <c r="M372" s="967"/>
      <c r="N372" s="967"/>
      <c r="O372" s="1007"/>
      <c r="P372" s="1007"/>
      <c r="Q372" s="1008"/>
    </row>
    <row r="373" spans="1:17" hidden="1">
      <c r="A373" s="966"/>
      <c r="B373" s="967"/>
      <c r="C373" s="967">
        <v>328</v>
      </c>
      <c r="D373" s="967"/>
      <c r="E373" s="968"/>
      <c r="F373" s="968"/>
      <c r="G373" s="968"/>
      <c r="H373" s="968"/>
      <c r="I373" s="968"/>
      <c r="J373" s="968"/>
      <c r="K373" s="967"/>
      <c r="L373" s="967"/>
      <c r="M373" s="967"/>
      <c r="N373" s="967"/>
      <c r="O373" s="1007"/>
      <c r="P373" s="1007"/>
      <c r="Q373" s="1008"/>
    </row>
    <row r="374" spans="1:17" hidden="1">
      <c r="A374" s="966"/>
      <c r="B374" s="967"/>
      <c r="C374" s="967">
        <v>329</v>
      </c>
      <c r="D374" s="967"/>
      <c r="E374" s="968"/>
      <c r="F374" s="968"/>
      <c r="G374" s="968"/>
      <c r="H374" s="968"/>
      <c r="I374" s="968"/>
      <c r="J374" s="968"/>
      <c r="K374" s="967"/>
      <c r="L374" s="967"/>
      <c r="M374" s="967"/>
      <c r="N374" s="967"/>
      <c r="O374" s="1007"/>
      <c r="P374" s="1007"/>
      <c r="Q374" s="1008"/>
    </row>
    <row r="375" spans="1:17" hidden="1">
      <c r="A375" s="966"/>
      <c r="B375" s="967"/>
      <c r="C375" s="967">
        <v>330</v>
      </c>
      <c r="D375" s="967"/>
      <c r="E375" s="968"/>
      <c r="F375" s="968"/>
      <c r="G375" s="968"/>
      <c r="H375" s="968"/>
      <c r="I375" s="968"/>
      <c r="J375" s="968"/>
      <c r="K375" s="967"/>
      <c r="L375" s="967"/>
      <c r="M375" s="967"/>
      <c r="N375" s="967"/>
      <c r="O375" s="1007"/>
      <c r="P375" s="1007"/>
      <c r="Q375" s="1008"/>
    </row>
    <row r="376" spans="1:17" hidden="1">
      <c r="A376" s="966"/>
      <c r="B376" s="967"/>
      <c r="C376" s="967">
        <v>331</v>
      </c>
      <c r="D376" s="967"/>
      <c r="E376" s="968"/>
      <c r="F376" s="968"/>
      <c r="G376" s="968"/>
      <c r="H376" s="968"/>
      <c r="I376" s="968"/>
      <c r="J376" s="968"/>
      <c r="K376" s="967"/>
      <c r="L376" s="967"/>
      <c r="M376" s="967"/>
      <c r="N376" s="967"/>
      <c r="O376" s="1007"/>
      <c r="P376" s="1007"/>
      <c r="Q376" s="1008"/>
    </row>
    <row r="377" spans="1:17" hidden="1">
      <c r="A377" s="966"/>
      <c r="B377" s="967"/>
      <c r="C377" s="967">
        <v>332</v>
      </c>
      <c r="D377" s="967"/>
      <c r="E377" s="968"/>
      <c r="F377" s="968"/>
      <c r="G377" s="968"/>
      <c r="H377" s="968"/>
      <c r="I377" s="968"/>
      <c r="J377" s="968"/>
      <c r="K377" s="967"/>
      <c r="L377" s="967"/>
      <c r="M377" s="967"/>
      <c r="N377" s="967"/>
      <c r="O377" s="1007"/>
      <c r="P377" s="1007"/>
      <c r="Q377" s="1008"/>
    </row>
    <row r="378" spans="1:17" hidden="1">
      <c r="A378" s="966"/>
      <c r="B378" s="967"/>
      <c r="C378" s="967">
        <v>333</v>
      </c>
      <c r="D378" s="967"/>
      <c r="E378" s="968"/>
      <c r="F378" s="968"/>
      <c r="G378" s="968"/>
      <c r="H378" s="968"/>
      <c r="I378" s="968"/>
      <c r="J378" s="968"/>
      <c r="K378" s="967"/>
      <c r="L378" s="967"/>
      <c r="M378" s="967"/>
      <c r="N378" s="967"/>
      <c r="O378" s="1007"/>
      <c r="P378" s="1007"/>
      <c r="Q378" s="1008"/>
    </row>
    <row r="379" spans="1:17" hidden="1">
      <c r="A379" s="966"/>
      <c r="B379" s="967"/>
      <c r="C379" s="967">
        <v>334</v>
      </c>
      <c r="D379" s="967"/>
      <c r="E379" s="968"/>
      <c r="F379" s="968"/>
      <c r="G379" s="968"/>
      <c r="H379" s="968"/>
      <c r="I379" s="968"/>
      <c r="J379" s="968"/>
      <c r="K379" s="967"/>
      <c r="L379" s="967"/>
      <c r="M379" s="967"/>
      <c r="N379" s="967"/>
      <c r="O379" s="1007"/>
      <c r="P379" s="1007"/>
      <c r="Q379" s="1008"/>
    </row>
    <row r="380" spans="1:17" hidden="1">
      <c r="A380" s="966"/>
      <c r="B380" s="967"/>
      <c r="C380" s="967">
        <v>335</v>
      </c>
      <c r="D380" s="967"/>
      <c r="E380" s="968"/>
      <c r="F380" s="968"/>
      <c r="G380" s="968"/>
      <c r="H380" s="968"/>
      <c r="I380" s="968"/>
      <c r="J380" s="968"/>
      <c r="K380" s="967"/>
      <c r="L380" s="967"/>
      <c r="M380" s="967"/>
      <c r="N380" s="967"/>
      <c r="O380" s="1007"/>
      <c r="P380" s="1007"/>
      <c r="Q380" s="1008"/>
    </row>
    <row r="381" spans="1:17" hidden="1">
      <c r="A381" s="966"/>
      <c r="B381" s="967"/>
      <c r="C381" s="967">
        <v>336</v>
      </c>
      <c r="D381" s="967"/>
      <c r="E381" s="968"/>
      <c r="F381" s="968"/>
      <c r="G381" s="968"/>
      <c r="H381" s="968"/>
      <c r="I381" s="968"/>
      <c r="J381" s="968"/>
      <c r="K381" s="967"/>
      <c r="L381" s="967"/>
      <c r="M381" s="967"/>
      <c r="N381" s="967"/>
      <c r="O381" s="1007"/>
      <c r="P381" s="1007"/>
      <c r="Q381" s="1008"/>
    </row>
    <row r="382" spans="1:17" hidden="1">
      <c r="A382" s="966"/>
      <c r="B382" s="967"/>
      <c r="C382" s="967">
        <v>337</v>
      </c>
      <c r="D382" s="967"/>
      <c r="E382" s="968"/>
      <c r="F382" s="968"/>
      <c r="G382" s="968"/>
      <c r="H382" s="968"/>
      <c r="I382" s="968"/>
      <c r="J382" s="968"/>
      <c r="K382" s="967"/>
      <c r="L382" s="967"/>
      <c r="M382" s="967"/>
      <c r="N382" s="967"/>
      <c r="O382" s="1007"/>
      <c r="P382" s="1007"/>
      <c r="Q382" s="1008"/>
    </row>
    <row r="383" spans="1:17" hidden="1">
      <c r="A383" s="966"/>
      <c r="B383" s="967"/>
      <c r="C383" s="967">
        <v>338</v>
      </c>
      <c r="D383" s="967"/>
      <c r="E383" s="968"/>
      <c r="F383" s="968"/>
      <c r="G383" s="968"/>
      <c r="H383" s="968"/>
      <c r="I383" s="968"/>
      <c r="J383" s="968"/>
      <c r="K383" s="967"/>
      <c r="L383" s="967"/>
      <c r="M383" s="967"/>
      <c r="N383" s="967"/>
      <c r="O383" s="1007"/>
      <c r="P383" s="1007"/>
      <c r="Q383" s="1008"/>
    </row>
    <row r="384" spans="1:17" hidden="1">
      <c r="A384" s="966"/>
      <c r="B384" s="967"/>
      <c r="C384" s="967">
        <v>339</v>
      </c>
      <c r="D384" s="967"/>
      <c r="E384" s="968"/>
      <c r="F384" s="968"/>
      <c r="G384" s="968"/>
      <c r="H384" s="968"/>
      <c r="I384" s="968"/>
      <c r="J384" s="968"/>
      <c r="K384" s="967"/>
      <c r="L384" s="967"/>
      <c r="M384" s="967"/>
      <c r="N384" s="967"/>
      <c r="O384" s="1007"/>
      <c r="P384" s="1007"/>
      <c r="Q384" s="1008"/>
    </row>
    <row r="385" spans="1:17" hidden="1">
      <c r="A385" s="966"/>
      <c r="B385" s="967"/>
      <c r="C385" s="967">
        <v>340</v>
      </c>
      <c r="D385" s="967"/>
      <c r="E385" s="968"/>
      <c r="F385" s="968"/>
      <c r="G385" s="968"/>
      <c r="H385" s="968"/>
      <c r="I385" s="968"/>
      <c r="J385" s="968"/>
      <c r="K385" s="967"/>
      <c r="L385" s="967"/>
      <c r="M385" s="967"/>
      <c r="N385" s="967"/>
      <c r="O385" s="1007"/>
      <c r="P385" s="1007"/>
      <c r="Q385" s="1008"/>
    </row>
    <row r="386" spans="1:17" hidden="1">
      <c r="A386" s="966"/>
      <c r="B386" s="967"/>
      <c r="C386" s="967">
        <v>341</v>
      </c>
      <c r="D386" s="967"/>
      <c r="E386" s="968"/>
      <c r="F386" s="968"/>
      <c r="G386" s="968"/>
      <c r="H386" s="968"/>
      <c r="I386" s="968"/>
      <c r="J386" s="968"/>
      <c r="K386" s="967"/>
      <c r="L386" s="967"/>
      <c r="M386" s="967"/>
      <c r="N386" s="967"/>
      <c r="O386" s="1007"/>
      <c r="P386" s="1007"/>
      <c r="Q386" s="1008"/>
    </row>
    <row r="387" spans="1:17" hidden="1">
      <c r="A387" s="966"/>
      <c r="B387" s="967"/>
      <c r="C387" s="967">
        <v>342</v>
      </c>
      <c r="D387" s="967"/>
      <c r="E387" s="968"/>
      <c r="F387" s="968"/>
      <c r="G387" s="968"/>
      <c r="H387" s="968"/>
      <c r="I387" s="968"/>
      <c r="J387" s="968"/>
      <c r="K387" s="967"/>
      <c r="L387" s="967"/>
      <c r="M387" s="967"/>
      <c r="N387" s="967"/>
      <c r="O387" s="1007"/>
      <c r="P387" s="1007"/>
      <c r="Q387" s="1008"/>
    </row>
    <row r="388" spans="1:17" hidden="1">
      <c r="A388" s="966"/>
      <c r="B388" s="967"/>
      <c r="C388" s="967">
        <v>343</v>
      </c>
      <c r="D388" s="967"/>
      <c r="E388" s="968"/>
      <c r="F388" s="968"/>
      <c r="G388" s="968"/>
      <c r="H388" s="968"/>
      <c r="I388" s="968"/>
      <c r="J388" s="968"/>
      <c r="K388" s="967"/>
      <c r="L388" s="967"/>
      <c r="M388" s="967"/>
      <c r="N388" s="967"/>
      <c r="O388" s="1007"/>
      <c r="P388" s="1007"/>
      <c r="Q388" s="1008"/>
    </row>
    <row r="389" spans="1:17" hidden="1">
      <c r="A389" s="966"/>
      <c r="B389" s="967"/>
      <c r="C389" s="967">
        <v>344</v>
      </c>
      <c r="D389" s="967"/>
      <c r="E389" s="968"/>
      <c r="F389" s="968"/>
      <c r="G389" s="968"/>
      <c r="H389" s="968"/>
      <c r="I389" s="968"/>
      <c r="J389" s="968"/>
      <c r="K389" s="967"/>
      <c r="L389" s="967"/>
      <c r="M389" s="967"/>
      <c r="N389" s="967"/>
      <c r="O389" s="1007"/>
      <c r="P389" s="1007"/>
      <c r="Q389" s="1008"/>
    </row>
    <row r="390" spans="1:17" hidden="1">
      <c r="A390" s="966"/>
      <c r="B390" s="967"/>
      <c r="C390" s="967">
        <v>345</v>
      </c>
      <c r="D390" s="967"/>
      <c r="E390" s="968"/>
      <c r="F390" s="968"/>
      <c r="G390" s="968"/>
      <c r="H390" s="968"/>
      <c r="I390" s="968"/>
      <c r="J390" s="968"/>
      <c r="K390" s="967"/>
      <c r="L390" s="967"/>
      <c r="M390" s="967"/>
      <c r="N390" s="967"/>
      <c r="O390" s="1007"/>
      <c r="P390" s="1007"/>
      <c r="Q390" s="1008"/>
    </row>
    <row r="391" spans="1:17" hidden="1">
      <c r="A391" s="966"/>
      <c r="B391" s="967"/>
      <c r="C391" s="967">
        <v>346</v>
      </c>
      <c r="D391" s="967"/>
      <c r="E391" s="968"/>
      <c r="F391" s="968"/>
      <c r="G391" s="968"/>
      <c r="H391" s="968"/>
      <c r="I391" s="968"/>
      <c r="J391" s="968"/>
      <c r="K391" s="967"/>
      <c r="L391" s="967"/>
      <c r="M391" s="967"/>
      <c r="N391" s="967"/>
      <c r="O391" s="1007"/>
      <c r="P391" s="1007"/>
      <c r="Q391" s="1008"/>
    </row>
    <row r="392" spans="1:17" hidden="1">
      <c r="A392" s="966"/>
      <c r="B392" s="967"/>
      <c r="C392" s="967">
        <v>347</v>
      </c>
      <c r="D392" s="967"/>
      <c r="E392" s="968"/>
      <c r="F392" s="968"/>
      <c r="G392" s="968"/>
      <c r="H392" s="968"/>
      <c r="I392" s="968"/>
      <c r="J392" s="968"/>
      <c r="K392" s="967"/>
      <c r="L392" s="967"/>
      <c r="M392" s="967"/>
      <c r="N392" s="967"/>
      <c r="O392" s="1007"/>
      <c r="P392" s="1007"/>
      <c r="Q392" s="1008"/>
    </row>
    <row r="393" spans="1:17" hidden="1">
      <c r="A393" s="966"/>
      <c r="B393" s="967"/>
      <c r="C393" s="967">
        <v>348</v>
      </c>
      <c r="D393" s="967"/>
      <c r="E393" s="968"/>
      <c r="F393" s="968"/>
      <c r="G393" s="968"/>
      <c r="H393" s="968"/>
      <c r="I393" s="968"/>
      <c r="J393" s="968"/>
      <c r="K393" s="967"/>
      <c r="L393" s="967"/>
      <c r="M393" s="967"/>
      <c r="N393" s="967"/>
      <c r="O393" s="1007"/>
      <c r="P393" s="1007"/>
      <c r="Q393" s="1008"/>
    </row>
    <row r="394" spans="1:17" hidden="1">
      <c r="A394" s="966"/>
      <c r="B394" s="967"/>
      <c r="C394" s="967">
        <v>349</v>
      </c>
      <c r="D394" s="967"/>
      <c r="E394" s="968"/>
      <c r="F394" s="968"/>
      <c r="G394" s="968"/>
      <c r="H394" s="968"/>
      <c r="I394" s="968"/>
      <c r="J394" s="968"/>
      <c r="K394" s="967"/>
      <c r="L394" s="967"/>
      <c r="M394" s="967"/>
      <c r="N394" s="967"/>
      <c r="O394" s="1007"/>
      <c r="P394" s="1007"/>
      <c r="Q394" s="1008"/>
    </row>
    <row r="395" spans="1:17" hidden="1">
      <c r="A395" s="966"/>
      <c r="B395" s="967"/>
      <c r="C395" s="967">
        <v>350</v>
      </c>
      <c r="D395" s="967"/>
      <c r="E395" s="968"/>
      <c r="F395" s="968"/>
      <c r="G395" s="968"/>
      <c r="H395" s="968"/>
      <c r="I395" s="968"/>
      <c r="J395" s="968"/>
      <c r="K395" s="967"/>
      <c r="L395" s="967"/>
      <c r="M395" s="967"/>
      <c r="N395" s="967"/>
      <c r="O395" s="1007"/>
      <c r="P395" s="1007"/>
      <c r="Q395" s="1008"/>
    </row>
    <row r="396" spans="1:17" hidden="1">
      <c r="A396" s="966"/>
      <c r="B396" s="967"/>
      <c r="C396" s="967">
        <v>351</v>
      </c>
      <c r="D396" s="967"/>
      <c r="E396" s="968"/>
      <c r="F396" s="968"/>
      <c r="G396" s="968"/>
      <c r="H396" s="968"/>
      <c r="I396" s="968"/>
      <c r="J396" s="968"/>
      <c r="K396" s="967"/>
      <c r="L396" s="967"/>
      <c r="M396" s="967"/>
      <c r="N396" s="967"/>
      <c r="O396" s="1007"/>
      <c r="P396" s="1007"/>
      <c r="Q396" s="1008"/>
    </row>
    <row r="397" spans="1:17" hidden="1">
      <c r="A397" s="966"/>
      <c r="B397" s="967"/>
      <c r="C397" s="967">
        <v>352</v>
      </c>
      <c r="D397" s="967"/>
      <c r="E397" s="968"/>
      <c r="F397" s="968"/>
      <c r="G397" s="968"/>
      <c r="H397" s="968"/>
      <c r="I397" s="968"/>
      <c r="J397" s="968"/>
      <c r="K397" s="967"/>
      <c r="L397" s="967"/>
      <c r="M397" s="967"/>
      <c r="N397" s="967"/>
      <c r="O397" s="1007"/>
      <c r="P397" s="1007"/>
      <c r="Q397" s="1008"/>
    </row>
    <row r="398" spans="1:17" hidden="1">
      <c r="A398" s="966"/>
      <c r="B398" s="967"/>
      <c r="C398" s="967">
        <v>353</v>
      </c>
      <c r="D398" s="967"/>
      <c r="E398" s="968"/>
      <c r="F398" s="968"/>
      <c r="G398" s="968"/>
      <c r="H398" s="968"/>
      <c r="I398" s="968"/>
      <c r="J398" s="968"/>
      <c r="K398" s="967"/>
      <c r="L398" s="967"/>
      <c r="M398" s="967"/>
      <c r="N398" s="967"/>
      <c r="O398" s="1007"/>
      <c r="P398" s="1007"/>
      <c r="Q398" s="1008"/>
    </row>
    <row r="399" spans="1:17" hidden="1">
      <c r="A399" s="966"/>
      <c r="B399" s="967"/>
      <c r="C399" s="967">
        <v>354</v>
      </c>
      <c r="D399" s="967"/>
      <c r="E399" s="968"/>
      <c r="F399" s="968"/>
      <c r="G399" s="968"/>
      <c r="H399" s="968"/>
      <c r="I399" s="968"/>
      <c r="J399" s="968"/>
      <c r="K399" s="967"/>
      <c r="L399" s="967"/>
      <c r="M399" s="967"/>
      <c r="N399" s="967"/>
      <c r="O399" s="1007"/>
      <c r="P399" s="1007"/>
      <c r="Q399" s="1008"/>
    </row>
    <row r="400" spans="1:17" hidden="1">
      <c r="A400" s="966"/>
      <c r="B400" s="967"/>
      <c r="C400" s="967">
        <v>355</v>
      </c>
      <c r="D400" s="967"/>
      <c r="E400" s="968"/>
      <c r="F400" s="968"/>
      <c r="G400" s="968"/>
      <c r="H400" s="968"/>
      <c r="I400" s="968"/>
      <c r="J400" s="968"/>
      <c r="K400" s="967"/>
      <c r="L400" s="967"/>
      <c r="M400" s="967"/>
      <c r="N400" s="967"/>
      <c r="O400" s="1007"/>
      <c r="P400" s="1007"/>
      <c r="Q400" s="1008"/>
    </row>
    <row r="401" spans="1:17" hidden="1">
      <c r="A401" s="966"/>
      <c r="B401" s="967"/>
      <c r="C401" s="967">
        <v>356</v>
      </c>
      <c r="D401" s="967"/>
      <c r="E401" s="968"/>
      <c r="F401" s="968"/>
      <c r="G401" s="968"/>
      <c r="H401" s="968"/>
      <c r="I401" s="968"/>
      <c r="J401" s="968"/>
      <c r="K401" s="967"/>
      <c r="L401" s="967"/>
      <c r="M401" s="967"/>
      <c r="N401" s="967"/>
      <c r="O401" s="1007"/>
      <c r="P401" s="1007"/>
      <c r="Q401" s="1008"/>
    </row>
    <row r="402" spans="1:17" hidden="1">
      <c r="A402" s="966"/>
      <c r="B402" s="967"/>
      <c r="C402" s="967">
        <v>357</v>
      </c>
      <c r="D402" s="967"/>
      <c r="E402" s="968"/>
      <c r="F402" s="968"/>
      <c r="G402" s="968"/>
      <c r="H402" s="968"/>
      <c r="I402" s="968"/>
      <c r="J402" s="968"/>
      <c r="K402" s="967"/>
      <c r="L402" s="967"/>
      <c r="M402" s="967"/>
      <c r="N402" s="967"/>
      <c r="O402" s="1007"/>
      <c r="P402" s="1007"/>
      <c r="Q402" s="1008"/>
    </row>
    <row r="403" spans="1:17" hidden="1">
      <c r="A403" s="966"/>
      <c r="B403" s="967"/>
      <c r="C403" s="967">
        <v>358</v>
      </c>
      <c r="D403" s="967"/>
      <c r="E403" s="968"/>
      <c r="F403" s="968"/>
      <c r="G403" s="968"/>
      <c r="H403" s="968"/>
      <c r="I403" s="968"/>
      <c r="J403" s="968"/>
      <c r="K403" s="967"/>
      <c r="L403" s="967"/>
      <c r="M403" s="967"/>
      <c r="N403" s="967"/>
      <c r="O403" s="1007"/>
      <c r="P403" s="1007"/>
      <c r="Q403" s="1008"/>
    </row>
    <row r="404" spans="1:17" hidden="1">
      <c r="A404" s="966"/>
      <c r="B404" s="967"/>
      <c r="C404" s="967">
        <v>359</v>
      </c>
      <c r="D404" s="967"/>
      <c r="E404" s="968"/>
      <c r="F404" s="968"/>
      <c r="G404" s="968"/>
      <c r="H404" s="968"/>
      <c r="I404" s="968"/>
      <c r="J404" s="968"/>
      <c r="K404" s="967"/>
      <c r="L404" s="967"/>
      <c r="M404" s="967"/>
      <c r="N404" s="967"/>
      <c r="O404" s="1007"/>
      <c r="P404" s="1007"/>
      <c r="Q404" s="1008"/>
    </row>
    <row r="405" spans="1:17" hidden="1">
      <c r="A405" s="966"/>
      <c r="B405" s="967"/>
      <c r="C405" s="967">
        <v>360</v>
      </c>
      <c r="D405" s="967"/>
      <c r="E405" s="968"/>
      <c r="F405" s="968"/>
      <c r="G405" s="968"/>
      <c r="H405" s="968"/>
      <c r="I405" s="968"/>
      <c r="J405" s="968"/>
      <c r="K405" s="967"/>
      <c r="L405" s="967"/>
      <c r="M405" s="967"/>
      <c r="N405" s="967"/>
      <c r="O405" s="1007"/>
      <c r="P405" s="1007"/>
      <c r="Q405" s="1008"/>
    </row>
    <row r="406" spans="1:17" hidden="1">
      <c r="A406" s="966"/>
      <c r="B406" s="967"/>
      <c r="C406" s="967">
        <v>361</v>
      </c>
      <c r="D406" s="967"/>
      <c r="E406" s="968"/>
      <c r="F406" s="968"/>
      <c r="G406" s="968"/>
      <c r="H406" s="968"/>
      <c r="I406" s="968"/>
      <c r="J406" s="968"/>
      <c r="K406" s="967"/>
      <c r="L406" s="967"/>
      <c r="M406" s="967"/>
      <c r="N406" s="967"/>
      <c r="O406" s="1007"/>
      <c r="P406" s="1007"/>
      <c r="Q406" s="1008"/>
    </row>
    <row r="407" spans="1:17" hidden="1">
      <c r="A407" s="966"/>
      <c r="B407" s="967"/>
      <c r="C407" s="967">
        <v>362</v>
      </c>
      <c r="D407" s="967"/>
      <c r="E407" s="968"/>
      <c r="F407" s="968"/>
      <c r="G407" s="968"/>
      <c r="H407" s="968"/>
      <c r="I407" s="968"/>
      <c r="J407" s="968"/>
      <c r="K407" s="967"/>
      <c r="L407" s="967"/>
      <c r="M407" s="967"/>
      <c r="N407" s="967"/>
      <c r="O407" s="1007"/>
      <c r="P407" s="1007"/>
      <c r="Q407" s="1008"/>
    </row>
    <row r="408" spans="1:17" hidden="1">
      <c r="A408" s="966"/>
      <c r="B408" s="967"/>
      <c r="C408" s="967">
        <v>363</v>
      </c>
      <c r="D408" s="967"/>
      <c r="E408" s="968"/>
      <c r="F408" s="968"/>
      <c r="G408" s="968"/>
      <c r="H408" s="968"/>
      <c r="I408" s="968"/>
      <c r="J408" s="968"/>
      <c r="K408" s="967"/>
      <c r="L408" s="967"/>
      <c r="M408" s="967"/>
      <c r="N408" s="967"/>
      <c r="O408" s="1007"/>
      <c r="P408" s="1007"/>
      <c r="Q408" s="1008"/>
    </row>
    <row r="409" spans="1:17" hidden="1">
      <c r="A409" s="966"/>
      <c r="B409" s="967"/>
      <c r="C409" s="967">
        <v>364</v>
      </c>
      <c r="D409" s="967"/>
      <c r="E409" s="968"/>
      <c r="F409" s="968"/>
      <c r="G409" s="968"/>
      <c r="H409" s="968"/>
      <c r="I409" s="968"/>
      <c r="J409" s="968"/>
      <c r="K409" s="967"/>
      <c r="L409" s="967"/>
      <c r="M409" s="967"/>
      <c r="N409" s="967"/>
      <c r="O409" s="1007"/>
      <c r="P409" s="1007"/>
      <c r="Q409" s="1008"/>
    </row>
    <row r="410" spans="1:17" hidden="1">
      <c r="A410" s="966"/>
      <c r="B410" s="967"/>
      <c r="C410" s="967">
        <v>365</v>
      </c>
      <c r="D410" s="967"/>
      <c r="E410" s="968"/>
      <c r="F410" s="968"/>
      <c r="G410" s="968"/>
      <c r="H410" s="968"/>
      <c r="I410" s="968"/>
      <c r="J410" s="968"/>
      <c r="K410" s="967"/>
      <c r="L410" s="967"/>
      <c r="M410" s="967"/>
      <c r="N410" s="967"/>
      <c r="O410" s="1007"/>
      <c r="P410" s="1007"/>
      <c r="Q410" s="1008"/>
    </row>
    <row r="411" spans="1:17" hidden="1">
      <c r="A411" s="966"/>
      <c r="B411" s="967"/>
      <c r="C411" s="967">
        <v>366</v>
      </c>
      <c r="D411" s="967"/>
      <c r="E411" s="968"/>
      <c r="F411" s="968"/>
      <c r="G411" s="968"/>
      <c r="H411" s="968"/>
      <c r="I411" s="968"/>
      <c r="J411" s="968"/>
      <c r="K411" s="967"/>
      <c r="L411" s="967"/>
      <c r="M411" s="967"/>
      <c r="N411" s="967"/>
      <c r="O411" s="1007"/>
      <c r="P411" s="1007"/>
      <c r="Q411" s="1008"/>
    </row>
    <row r="412" spans="1:17" hidden="1">
      <c r="A412" s="966"/>
      <c r="B412" s="967"/>
      <c r="C412" s="967">
        <v>367</v>
      </c>
      <c r="D412" s="967"/>
      <c r="E412" s="968"/>
      <c r="F412" s="968"/>
      <c r="G412" s="968"/>
      <c r="H412" s="968"/>
      <c r="I412" s="968"/>
      <c r="J412" s="968"/>
      <c r="K412" s="967"/>
      <c r="L412" s="967"/>
      <c r="M412" s="967"/>
      <c r="N412" s="967"/>
      <c r="O412" s="1007"/>
      <c r="P412" s="1007"/>
      <c r="Q412" s="1008"/>
    </row>
    <row r="413" spans="1:17" hidden="1">
      <c r="A413" s="966"/>
      <c r="B413" s="967"/>
      <c r="C413" s="967">
        <v>368</v>
      </c>
      <c r="D413" s="967"/>
      <c r="E413" s="968"/>
      <c r="F413" s="968"/>
      <c r="G413" s="968"/>
      <c r="H413" s="968"/>
      <c r="I413" s="968"/>
      <c r="J413" s="968"/>
      <c r="K413" s="967"/>
      <c r="L413" s="967"/>
      <c r="M413" s="967"/>
      <c r="N413" s="967"/>
      <c r="O413" s="1007"/>
      <c r="P413" s="1007"/>
      <c r="Q413" s="1008"/>
    </row>
    <row r="414" spans="1:17" hidden="1">
      <c r="A414" s="966"/>
      <c r="B414" s="967"/>
      <c r="C414" s="967">
        <v>369</v>
      </c>
      <c r="D414" s="967"/>
      <c r="E414" s="968"/>
      <c r="F414" s="968"/>
      <c r="G414" s="968"/>
      <c r="H414" s="968"/>
      <c r="I414" s="968"/>
      <c r="J414" s="968"/>
      <c r="K414" s="967"/>
      <c r="L414" s="967"/>
      <c r="M414" s="967"/>
      <c r="N414" s="967"/>
      <c r="O414" s="1007"/>
      <c r="P414" s="1007"/>
      <c r="Q414" s="1008"/>
    </row>
    <row r="415" spans="1:17" hidden="1">
      <c r="A415" s="966"/>
      <c r="B415" s="967"/>
      <c r="C415" s="967">
        <v>370</v>
      </c>
      <c r="D415" s="967"/>
      <c r="E415" s="968"/>
      <c r="F415" s="968"/>
      <c r="G415" s="968"/>
      <c r="H415" s="968"/>
      <c r="I415" s="968"/>
      <c r="J415" s="968"/>
      <c r="K415" s="967"/>
      <c r="L415" s="967"/>
      <c r="M415" s="967"/>
      <c r="N415" s="967"/>
      <c r="O415" s="1007"/>
      <c r="P415" s="1007"/>
      <c r="Q415" s="1008"/>
    </row>
    <row r="416" spans="1:17" hidden="1">
      <c r="A416" s="966"/>
      <c r="B416" s="967"/>
      <c r="C416" s="967">
        <v>371</v>
      </c>
      <c r="D416" s="967"/>
      <c r="E416" s="968"/>
      <c r="F416" s="968"/>
      <c r="G416" s="968"/>
      <c r="H416" s="968"/>
      <c r="I416" s="968"/>
      <c r="J416" s="968"/>
      <c r="K416" s="967"/>
      <c r="L416" s="967"/>
      <c r="M416" s="967"/>
      <c r="N416" s="967"/>
      <c r="O416" s="1007"/>
      <c r="P416" s="1007"/>
      <c r="Q416" s="1008"/>
    </row>
    <row r="417" spans="1:17" hidden="1">
      <c r="A417" s="966"/>
      <c r="B417" s="967"/>
      <c r="C417" s="967">
        <v>372</v>
      </c>
      <c r="D417" s="967"/>
      <c r="E417" s="968"/>
      <c r="F417" s="968"/>
      <c r="G417" s="968"/>
      <c r="H417" s="968"/>
      <c r="I417" s="968"/>
      <c r="J417" s="968"/>
      <c r="K417" s="967"/>
      <c r="L417" s="967"/>
      <c r="M417" s="967"/>
      <c r="N417" s="967"/>
      <c r="O417" s="1007"/>
      <c r="P417" s="1007"/>
      <c r="Q417" s="1008"/>
    </row>
    <row r="418" spans="1:17" hidden="1">
      <c r="A418" s="966"/>
      <c r="B418" s="967"/>
      <c r="C418" s="967">
        <v>373</v>
      </c>
      <c r="D418" s="967"/>
      <c r="E418" s="968"/>
      <c r="F418" s="968"/>
      <c r="G418" s="968"/>
      <c r="H418" s="968"/>
      <c r="I418" s="968"/>
      <c r="J418" s="968"/>
      <c r="K418" s="967"/>
      <c r="L418" s="967"/>
      <c r="M418" s="967"/>
      <c r="N418" s="967"/>
      <c r="O418" s="1007"/>
      <c r="P418" s="1007"/>
      <c r="Q418" s="1008"/>
    </row>
    <row r="419" spans="1:17" hidden="1">
      <c r="A419" s="966"/>
      <c r="B419" s="967"/>
      <c r="C419" s="967">
        <v>374</v>
      </c>
      <c r="D419" s="967"/>
      <c r="E419" s="968"/>
      <c r="F419" s="968"/>
      <c r="G419" s="968"/>
      <c r="H419" s="968"/>
      <c r="I419" s="968"/>
      <c r="J419" s="968"/>
      <c r="K419" s="967"/>
      <c r="L419" s="967"/>
      <c r="M419" s="967"/>
      <c r="N419" s="967"/>
      <c r="O419" s="1007"/>
      <c r="P419" s="1007"/>
      <c r="Q419" s="1008"/>
    </row>
    <row r="420" spans="1:17" hidden="1">
      <c r="A420" s="966"/>
      <c r="B420" s="967"/>
      <c r="C420" s="967">
        <v>375</v>
      </c>
      <c r="D420" s="967"/>
      <c r="E420" s="968"/>
      <c r="F420" s="968"/>
      <c r="G420" s="968"/>
      <c r="H420" s="968"/>
      <c r="I420" s="968"/>
      <c r="J420" s="968"/>
      <c r="K420" s="967"/>
      <c r="L420" s="967"/>
      <c r="M420" s="967"/>
      <c r="N420" s="967"/>
      <c r="O420" s="1007"/>
      <c r="P420" s="1007"/>
      <c r="Q420" s="1008"/>
    </row>
    <row r="421" spans="1:17" hidden="1">
      <c r="A421" s="966"/>
      <c r="B421" s="967"/>
      <c r="C421" s="967">
        <v>376</v>
      </c>
      <c r="D421" s="967"/>
      <c r="E421" s="968"/>
      <c r="F421" s="968"/>
      <c r="G421" s="968"/>
      <c r="H421" s="968"/>
      <c r="I421" s="968"/>
      <c r="J421" s="968"/>
      <c r="K421" s="967"/>
      <c r="L421" s="967"/>
      <c r="M421" s="967"/>
      <c r="N421" s="967"/>
      <c r="O421" s="1007"/>
      <c r="P421" s="1007"/>
      <c r="Q421" s="1008"/>
    </row>
    <row r="422" spans="1:17" hidden="1">
      <c r="A422" s="966"/>
      <c r="B422" s="967"/>
      <c r="C422" s="967">
        <v>377</v>
      </c>
      <c r="D422" s="967"/>
      <c r="E422" s="968"/>
      <c r="F422" s="968"/>
      <c r="G422" s="968"/>
      <c r="H422" s="968"/>
      <c r="I422" s="968"/>
      <c r="J422" s="968"/>
      <c r="K422" s="967"/>
      <c r="L422" s="967"/>
      <c r="M422" s="967"/>
      <c r="N422" s="967"/>
      <c r="O422" s="1007"/>
      <c r="P422" s="1007"/>
      <c r="Q422" s="1008"/>
    </row>
    <row r="423" spans="1:17" hidden="1">
      <c r="A423" s="966"/>
      <c r="B423" s="967"/>
      <c r="C423" s="967">
        <v>378</v>
      </c>
      <c r="D423" s="967"/>
      <c r="E423" s="968"/>
      <c r="F423" s="968"/>
      <c r="G423" s="968"/>
      <c r="H423" s="968"/>
      <c r="I423" s="968"/>
      <c r="J423" s="968"/>
      <c r="K423" s="967"/>
      <c r="L423" s="967"/>
      <c r="M423" s="967"/>
      <c r="N423" s="967"/>
      <c r="O423" s="1007"/>
      <c r="P423" s="1007"/>
      <c r="Q423" s="1008"/>
    </row>
    <row r="424" spans="1:17" hidden="1">
      <c r="A424" s="966"/>
      <c r="B424" s="967"/>
      <c r="C424" s="967">
        <v>379</v>
      </c>
      <c r="D424" s="967"/>
      <c r="E424" s="968"/>
      <c r="F424" s="968"/>
      <c r="G424" s="968"/>
      <c r="H424" s="968"/>
      <c r="I424" s="968"/>
      <c r="J424" s="968"/>
      <c r="K424" s="967"/>
      <c r="L424" s="967"/>
      <c r="M424" s="967"/>
      <c r="N424" s="967"/>
      <c r="O424" s="1007"/>
      <c r="P424" s="1007"/>
      <c r="Q424" s="1008"/>
    </row>
    <row r="425" spans="1:17" hidden="1">
      <c r="A425" s="966"/>
      <c r="B425" s="967"/>
      <c r="C425" s="967">
        <v>380</v>
      </c>
      <c r="D425" s="967"/>
      <c r="E425" s="968"/>
      <c r="F425" s="968"/>
      <c r="G425" s="968"/>
      <c r="H425" s="968"/>
      <c r="I425" s="968"/>
      <c r="J425" s="968"/>
      <c r="K425" s="967"/>
      <c r="L425" s="967"/>
      <c r="M425" s="967"/>
      <c r="N425" s="967"/>
      <c r="O425" s="1007"/>
      <c r="P425" s="1007"/>
      <c r="Q425" s="1008"/>
    </row>
    <row r="426" spans="1:17" hidden="1">
      <c r="A426" s="966"/>
      <c r="B426" s="967"/>
      <c r="C426" s="967">
        <v>381</v>
      </c>
      <c r="D426" s="967"/>
      <c r="E426" s="968"/>
      <c r="F426" s="968"/>
      <c r="G426" s="968"/>
      <c r="H426" s="968"/>
      <c r="I426" s="968"/>
      <c r="J426" s="968"/>
      <c r="K426" s="967"/>
      <c r="L426" s="967"/>
      <c r="M426" s="967"/>
      <c r="N426" s="967"/>
      <c r="O426" s="1007"/>
      <c r="P426" s="1007"/>
      <c r="Q426" s="1008"/>
    </row>
    <row r="427" spans="1:17" hidden="1">
      <c r="A427" s="966"/>
      <c r="B427" s="967"/>
      <c r="C427" s="967">
        <v>382</v>
      </c>
      <c r="D427" s="967"/>
      <c r="E427" s="968"/>
      <c r="F427" s="968"/>
      <c r="G427" s="968"/>
      <c r="H427" s="968"/>
      <c r="I427" s="968"/>
      <c r="J427" s="968"/>
      <c r="K427" s="967"/>
      <c r="L427" s="967"/>
      <c r="M427" s="967"/>
      <c r="N427" s="967"/>
      <c r="O427" s="1007"/>
      <c r="P427" s="1007"/>
      <c r="Q427" s="1008"/>
    </row>
    <row r="428" spans="1:17" hidden="1">
      <c r="A428" s="966"/>
      <c r="B428" s="967"/>
      <c r="C428" s="967">
        <v>383</v>
      </c>
      <c r="D428" s="967"/>
      <c r="E428" s="968"/>
      <c r="F428" s="968"/>
      <c r="G428" s="968"/>
      <c r="H428" s="968"/>
      <c r="I428" s="968"/>
      <c r="J428" s="968"/>
      <c r="K428" s="967"/>
      <c r="L428" s="967"/>
      <c r="M428" s="967"/>
      <c r="N428" s="967"/>
      <c r="O428" s="1007"/>
      <c r="P428" s="1007"/>
      <c r="Q428" s="1008"/>
    </row>
    <row r="429" spans="1:17" hidden="1">
      <c r="A429" s="966"/>
      <c r="B429" s="967"/>
      <c r="C429" s="967">
        <v>384</v>
      </c>
      <c r="D429" s="967"/>
      <c r="E429" s="968"/>
      <c r="F429" s="968"/>
      <c r="G429" s="968"/>
      <c r="H429" s="968"/>
      <c r="I429" s="968"/>
      <c r="J429" s="968"/>
      <c r="K429" s="967"/>
      <c r="L429" s="967"/>
      <c r="M429" s="967"/>
      <c r="N429" s="967"/>
      <c r="O429" s="1007"/>
      <c r="P429" s="1007"/>
      <c r="Q429" s="1008"/>
    </row>
    <row r="430" spans="1:17" hidden="1">
      <c r="A430" s="966"/>
      <c r="B430" s="967"/>
      <c r="C430" s="967">
        <v>385</v>
      </c>
      <c r="D430" s="967"/>
      <c r="E430" s="968"/>
      <c r="F430" s="968"/>
      <c r="G430" s="968"/>
      <c r="H430" s="968"/>
      <c r="I430" s="968"/>
      <c r="J430" s="968"/>
      <c r="K430" s="967"/>
      <c r="L430" s="967"/>
      <c r="M430" s="967"/>
      <c r="N430" s="967"/>
      <c r="O430" s="1007"/>
      <c r="P430" s="1007"/>
      <c r="Q430" s="1008"/>
    </row>
    <row r="431" spans="1:17" hidden="1">
      <c r="A431" s="966"/>
      <c r="B431" s="967"/>
      <c r="C431" s="967">
        <v>386</v>
      </c>
      <c r="D431" s="967"/>
      <c r="E431" s="968"/>
      <c r="F431" s="968"/>
      <c r="G431" s="968"/>
      <c r="H431" s="968"/>
      <c r="I431" s="968"/>
      <c r="J431" s="968"/>
      <c r="K431" s="967"/>
      <c r="L431" s="967"/>
      <c r="M431" s="967"/>
      <c r="N431" s="967"/>
      <c r="O431" s="1007"/>
      <c r="P431" s="1007"/>
      <c r="Q431" s="1008"/>
    </row>
    <row r="432" spans="1:17" hidden="1">
      <c r="A432" s="966"/>
      <c r="B432" s="967"/>
      <c r="C432" s="967">
        <v>387</v>
      </c>
      <c r="D432" s="967"/>
      <c r="E432" s="968"/>
      <c r="F432" s="968"/>
      <c r="G432" s="968"/>
      <c r="H432" s="968"/>
      <c r="I432" s="968"/>
      <c r="J432" s="968"/>
      <c r="K432" s="967"/>
      <c r="L432" s="967"/>
      <c r="M432" s="967"/>
      <c r="N432" s="967"/>
      <c r="O432" s="1007"/>
      <c r="P432" s="1007"/>
      <c r="Q432" s="1008"/>
    </row>
    <row r="433" spans="1:17" hidden="1">
      <c r="A433" s="966"/>
      <c r="B433" s="967"/>
      <c r="C433" s="967">
        <v>388</v>
      </c>
      <c r="D433" s="967"/>
      <c r="E433" s="968"/>
      <c r="F433" s="968"/>
      <c r="G433" s="968"/>
      <c r="H433" s="968"/>
      <c r="I433" s="968"/>
      <c r="J433" s="968"/>
      <c r="K433" s="967"/>
      <c r="L433" s="967"/>
      <c r="M433" s="967"/>
      <c r="N433" s="967"/>
      <c r="O433" s="1007"/>
      <c r="P433" s="1007"/>
      <c r="Q433" s="1008"/>
    </row>
    <row r="434" spans="1:17" hidden="1">
      <c r="A434" s="966"/>
      <c r="B434" s="967"/>
      <c r="C434" s="967">
        <v>389</v>
      </c>
      <c r="D434" s="967"/>
      <c r="E434" s="968"/>
      <c r="F434" s="968"/>
      <c r="G434" s="968"/>
      <c r="H434" s="968"/>
      <c r="I434" s="968"/>
      <c r="J434" s="968"/>
      <c r="K434" s="967"/>
      <c r="L434" s="967"/>
      <c r="M434" s="967"/>
      <c r="N434" s="967"/>
      <c r="O434" s="1007"/>
      <c r="P434" s="1007"/>
      <c r="Q434" s="1008"/>
    </row>
    <row r="435" spans="1:17" hidden="1">
      <c r="A435" s="966"/>
      <c r="B435" s="967"/>
      <c r="C435" s="967">
        <v>390</v>
      </c>
      <c r="D435" s="967"/>
      <c r="E435" s="968"/>
      <c r="F435" s="968"/>
      <c r="G435" s="968"/>
      <c r="H435" s="968"/>
      <c r="I435" s="968"/>
      <c r="J435" s="968"/>
      <c r="K435" s="967"/>
      <c r="L435" s="967"/>
      <c r="M435" s="967"/>
      <c r="N435" s="967"/>
      <c r="O435" s="1007"/>
      <c r="P435" s="1007"/>
      <c r="Q435" s="1008"/>
    </row>
    <row r="436" spans="1:17" hidden="1">
      <c r="A436" s="966"/>
      <c r="B436" s="967"/>
      <c r="C436" s="967">
        <v>391</v>
      </c>
      <c r="D436" s="967"/>
      <c r="E436" s="968"/>
      <c r="F436" s="968"/>
      <c r="G436" s="968"/>
      <c r="H436" s="968"/>
      <c r="I436" s="968"/>
      <c r="J436" s="968"/>
      <c r="K436" s="967"/>
      <c r="L436" s="967"/>
      <c r="M436" s="967"/>
      <c r="N436" s="967"/>
      <c r="O436" s="1007"/>
      <c r="P436" s="1007"/>
      <c r="Q436" s="1008"/>
    </row>
    <row r="437" spans="1:17" hidden="1">
      <c r="A437" s="966"/>
      <c r="B437" s="967"/>
      <c r="C437" s="967">
        <v>392</v>
      </c>
      <c r="D437" s="967"/>
      <c r="E437" s="968"/>
      <c r="F437" s="968"/>
      <c r="G437" s="968"/>
      <c r="H437" s="968"/>
      <c r="I437" s="968"/>
      <c r="J437" s="968"/>
      <c r="K437" s="967"/>
      <c r="L437" s="967"/>
      <c r="M437" s="967"/>
      <c r="N437" s="967"/>
      <c r="O437" s="1007"/>
      <c r="P437" s="1007"/>
      <c r="Q437" s="1008"/>
    </row>
    <row r="438" spans="1:17" hidden="1">
      <c r="A438" s="966"/>
      <c r="B438" s="967"/>
      <c r="C438" s="967">
        <v>393</v>
      </c>
      <c r="D438" s="967"/>
      <c r="E438" s="968"/>
      <c r="F438" s="968"/>
      <c r="G438" s="968"/>
      <c r="H438" s="968"/>
      <c r="I438" s="968"/>
      <c r="J438" s="968"/>
      <c r="K438" s="967"/>
      <c r="L438" s="967"/>
      <c r="M438" s="967"/>
      <c r="N438" s="967"/>
      <c r="O438" s="1007"/>
      <c r="P438" s="1007"/>
      <c r="Q438" s="1008"/>
    </row>
    <row r="439" spans="1:17" hidden="1">
      <c r="A439" s="966"/>
      <c r="B439" s="967"/>
      <c r="C439" s="967">
        <v>394</v>
      </c>
      <c r="D439" s="967"/>
      <c r="E439" s="968"/>
      <c r="F439" s="968"/>
      <c r="G439" s="968"/>
      <c r="H439" s="968"/>
      <c r="I439" s="968"/>
      <c r="J439" s="968"/>
      <c r="K439" s="967"/>
      <c r="L439" s="967"/>
      <c r="M439" s="967"/>
      <c r="N439" s="967"/>
      <c r="O439" s="1007"/>
      <c r="P439" s="1007"/>
      <c r="Q439" s="1008"/>
    </row>
    <row r="440" spans="1:17" hidden="1">
      <c r="A440" s="966"/>
      <c r="B440" s="967"/>
      <c r="C440" s="967">
        <v>395</v>
      </c>
      <c r="D440" s="967"/>
      <c r="E440" s="968"/>
      <c r="F440" s="968"/>
      <c r="G440" s="968"/>
      <c r="H440" s="968"/>
      <c r="I440" s="968"/>
      <c r="J440" s="968"/>
      <c r="K440" s="967"/>
      <c r="L440" s="967"/>
      <c r="M440" s="967"/>
      <c r="N440" s="967"/>
      <c r="O440" s="1007"/>
      <c r="P440" s="1007"/>
      <c r="Q440" s="1008"/>
    </row>
    <row r="441" spans="1:17" hidden="1">
      <c r="A441" s="966"/>
      <c r="B441" s="967"/>
      <c r="C441" s="967">
        <v>396</v>
      </c>
      <c r="D441" s="967"/>
      <c r="E441" s="968"/>
      <c r="F441" s="968"/>
      <c r="G441" s="968"/>
      <c r="H441" s="968"/>
      <c r="I441" s="968"/>
      <c r="J441" s="968"/>
      <c r="K441" s="967"/>
      <c r="L441" s="967"/>
      <c r="M441" s="967"/>
      <c r="N441" s="967"/>
      <c r="O441" s="1007"/>
      <c r="P441" s="1007"/>
      <c r="Q441" s="1008"/>
    </row>
    <row r="442" spans="1:17" hidden="1">
      <c r="A442" s="966"/>
      <c r="B442" s="967"/>
      <c r="C442" s="967">
        <v>397</v>
      </c>
      <c r="D442" s="967"/>
      <c r="E442" s="968"/>
      <c r="F442" s="968"/>
      <c r="G442" s="968"/>
      <c r="H442" s="968"/>
      <c r="I442" s="968"/>
      <c r="J442" s="968"/>
      <c r="K442" s="967"/>
      <c r="L442" s="967"/>
      <c r="M442" s="967"/>
      <c r="N442" s="967"/>
      <c r="O442" s="1007"/>
      <c r="P442" s="1007"/>
      <c r="Q442" s="1008"/>
    </row>
    <row r="443" spans="1:17" hidden="1">
      <c r="A443" s="966"/>
      <c r="B443" s="967"/>
      <c r="C443" s="967">
        <v>398</v>
      </c>
      <c r="D443" s="967"/>
      <c r="E443" s="968"/>
      <c r="F443" s="968"/>
      <c r="G443" s="968"/>
      <c r="H443" s="968"/>
      <c r="I443" s="968"/>
      <c r="J443" s="968"/>
      <c r="K443" s="967"/>
      <c r="L443" s="967"/>
      <c r="M443" s="967"/>
      <c r="N443" s="967"/>
      <c r="O443" s="1007"/>
      <c r="P443" s="1007"/>
      <c r="Q443" s="1008"/>
    </row>
    <row r="444" spans="1:17" hidden="1">
      <c r="A444" s="966"/>
      <c r="B444" s="967"/>
      <c r="C444" s="967">
        <v>399</v>
      </c>
      <c r="D444" s="967"/>
      <c r="E444" s="968"/>
      <c r="F444" s="968"/>
      <c r="G444" s="968"/>
      <c r="H444" s="968"/>
      <c r="I444" s="968"/>
      <c r="J444" s="968"/>
      <c r="K444" s="967"/>
      <c r="L444" s="967"/>
      <c r="M444" s="967"/>
      <c r="N444" s="967"/>
      <c r="O444" s="1007"/>
      <c r="P444" s="1007"/>
      <c r="Q444" s="1008"/>
    </row>
    <row r="445" spans="1:17" hidden="1">
      <c r="A445" s="966"/>
      <c r="B445" s="967"/>
      <c r="C445" s="967">
        <v>400</v>
      </c>
      <c r="D445" s="967"/>
      <c r="E445" s="968"/>
      <c r="F445" s="968"/>
      <c r="G445" s="968"/>
      <c r="H445" s="968"/>
      <c r="I445" s="968"/>
      <c r="J445" s="968"/>
      <c r="K445" s="967"/>
      <c r="L445" s="967"/>
      <c r="M445" s="967"/>
      <c r="N445" s="967"/>
      <c r="O445" s="1007"/>
      <c r="P445" s="1007"/>
      <c r="Q445" s="1008"/>
    </row>
    <row r="446" spans="1:17" hidden="1">
      <c r="A446" s="966"/>
      <c r="B446" s="967"/>
      <c r="C446" s="967">
        <v>401</v>
      </c>
      <c r="D446" s="967"/>
      <c r="E446" s="968"/>
      <c r="F446" s="968"/>
      <c r="G446" s="968"/>
      <c r="H446" s="968"/>
      <c r="I446" s="968"/>
      <c r="J446" s="968"/>
      <c r="K446" s="967"/>
      <c r="L446" s="967"/>
      <c r="M446" s="967"/>
      <c r="N446" s="967"/>
      <c r="O446" s="1007"/>
      <c r="P446" s="1007"/>
      <c r="Q446" s="1008"/>
    </row>
    <row r="447" spans="1:17" hidden="1">
      <c r="A447" s="966"/>
      <c r="B447" s="967"/>
      <c r="C447" s="967">
        <v>402</v>
      </c>
      <c r="D447" s="967"/>
      <c r="E447" s="968"/>
      <c r="F447" s="968"/>
      <c r="G447" s="968"/>
      <c r="H447" s="968"/>
      <c r="I447" s="968"/>
      <c r="J447" s="968"/>
      <c r="K447" s="967"/>
      <c r="L447" s="967"/>
      <c r="M447" s="967"/>
      <c r="N447" s="967"/>
      <c r="O447" s="1007"/>
      <c r="P447" s="1007"/>
      <c r="Q447" s="1008"/>
    </row>
    <row r="448" spans="1:17" hidden="1">
      <c r="A448" s="966"/>
      <c r="B448" s="967"/>
      <c r="C448" s="967">
        <v>403</v>
      </c>
      <c r="D448" s="967"/>
      <c r="E448" s="968"/>
      <c r="F448" s="968"/>
      <c r="G448" s="968"/>
      <c r="H448" s="968"/>
      <c r="I448" s="968"/>
      <c r="J448" s="968"/>
      <c r="K448" s="967"/>
      <c r="L448" s="967"/>
      <c r="M448" s="967"/>
      <c r="N448" s="967"/>
      <c r="O448" s="1007"/>
      <c r="P448" s="1007"/>
      <c r="Q448" s="1008"/>
    </row>
    <row r="449" spans="1:17" hidden="1">
      <c r="A449" s="966"/>
      <c r="B449" s="967"/>
      <c r="C449" s="967">
        <v>404</v>
      </c>
      <c r="D449" s="967"/>
      <c r="E449" s="968"/>
      <c r="F449" s="968"/>
      <c r="G449" s="968"/>
      <c r="H449" s="968"/>
      <c r="I449" s="968"/>
      <c r="J449" s="968"/>
      <c r="K449" s="967"/>
      <c r="L449" s="967"/>
      <c r="M449" s="967"/>
      <c r="N449" s="967"/>
      <c r="O449" s="1007"/>
      <c r="P449" s="1007"/>
      <c r="Q449" s="1008"/>
    </row>
    <row r="450" spans="1:17" hidden="1">
      <c r="A450" s="966"/>
      <c r="B450" s="967"/>
      <c r="C450" s="967">
        <v>405</v>
      </c>
      <c r="D450" s="967"/>
      <c r="E450" s="968"/>
      <c r="F450" s="968"/>
      <c r="G450" s="968"/>
      <c r="H450" s="968"/>
      <c r="I450" s="968"/>
      <c r="J450" s="968"/>
      <c r="K450" s="967"/>
      <c r="L450" s="967"/>
      <c r="M450" s="967"/>
      <c r="N450" s="967"/>
      <c r="O450" s="1007"/>
      <c r="P450" s="1007"/>
      <c r="Q450" s="1008"/>
    </row>
    <row r="451" spans="1:17" hidden="1">
      <c r="A451" s="966"/>
      <c r="B451" s="967"/>
      <c r="C451" s="967">
        <v>406</v>
      </c>
      <c r="D451" s="967"/>
      <c r="E451" s="968"/>
      <c r="F451" s="968"/>
      <c r="G451" s="968"/>
      <c r="H451" s="968"/>
      <c r="I451" s="968"/>
      <c r="J451" s="968"/>
      <c r="K451" s="967"/>
      <c r="L451" s="967"/>
      <c r="M451" s="967"/>
      <c r="N451" s="967"/>
      <c r="O451" s="1007"/>
      <c r="P451" s="1007"/>
      <c r="Q451" s="1008"/>
    </row>
    <row r="452" spans="1:17" hidden="1">
      <c r="A452" s="966"/>
      <c r="B452" s="967"/>
      <c r="C452" s="967">
        <v>407</v>
      </c>
      <c r="D452" s="967"/>
      <c r="E452" s="968"/>
      <c r="F452" s="968"/>
      <c r="G452" s="968"/>
      <c r="H452" s="968"/>
      <c r="I452" s="968"/>
      <c r="J452" s="968"/>
      <c r="K452" s="967"/>
      <c r="L452" s="967"/>
      <c r="M452" s="967"/>
      <c r="N452" s="967"/>
      <c r="O452" s="1007"/>
      <c r="P452" s="1007"/>
      <c r="Q452" s="1008"/>
    </row>
    <row r="453" spans="1:17" hidden="1">
      <c r="A453" s="966"/>
      <c r="B453" s="967"/>
      <c r="C453" s="967">
        <v>408</v>
      </c>
      <c r="D453" s="967"/>
      <c r="E453" s="968"/>
      <c r="F453" s="968"/>
      <c r="G453" s="968"/>
      <c r="H453" s="968"/>
      <c r="I453" s="968"/>
      <c r="J453" s="968"/>
      <c r="K453" s="967"/>
      <c r="L453" s="967"/>
      <c r="M453" s="967"/>
      <c r="N453" s="967"/>
      <c r="O453" s="1007"/>
      <c r="P453" s="1007"/>
      <c r="Q453" s="1008"/>
    </row>
    <row r="454" spans="1:17" hidden="1">
      <c r="A454" s="966"/>
      <c r="B454" s="967"/>
      <c r="C454" s="967">
        <v>409</v>
      </c>
      <c r="D454" s="967"/>
      <c r="E454" s="968"/>
      <c r="F454" s="968"/>
      <c r="G454" s="968"/>
      <c r="H454" s="968"/>
      <c r="I454" s="968"/>
      <c r="J454" s="968"/>
      <c r="K454" s="967"/>
      <c r="L454" s="967"/>
      <c r="M454" s="967"/>
      <c r="N454" s="967"/>
      <c r="O454" s="1007"/>
      <c r="P454" s="1007"/>
      <c r="Q454" s="1008"/>
    </row>
    <row r="455" spans="1:17" hidden="1">
      <c r="A455" s="966"/>
      <c r="B455" s="967"/>
      <c r="C455" s="967">
        <v>410</v>
      </c>
      <c r="D455" s="967"/>
      <c r="E455" s="968"/>
      <c r="F455" s="968"/>
      <c r="G455" s="968"/>
      <c r="H455" s="968"/>
      <c r="I455" s="968"/>
      <c r="J455" s="968"/>
      <c r="K455" s="967"/>
      <c r="L455" s="967"/>
      <c r="M455" s="967"/>
      <c r="N455" s="967"/>
      <c r="O455" s="1007"/>
      <c r="P455" s="1007"/>
      <c r="Q455" s="1008"/>
    </row>
    <row r="456" spans="1:17" hidden="1">
      <c r="A456" s="966"/>
      <c r="B456" s="967"/>
      <c r="C456" s="967">
        <v>411</v>
      </c>
      <c r="D456" s="967"/>
      <c r="E456" s="968"/>
      <c r="F456" s="968"/>
      <c r="G456" s="968"/>
      <c r="H456" s="968"/>
      <c r="I456" s="968"/>
      <c r="J456" s="968"/>
      <c r="K456" s="967"/>
      <c r="L456" s="967"/>
      <c r="M456" s="967"/>
      <c r="N456" s="967"/>
      <c r="O456" s="1007"/>
      <c r="P456" s="1007"/>
      <c r="Q456" s="1008"/>
    </row>
    <row r="457" spans="1:17" hidden="1">
      <c r="A457" s="966"/>
      <c r="B457" s="967"/>
      <c r="C457" s="967">
        <v>412</v>
      </c>
      <c r="D457" s="967"/>
      <c r="E457" s="968"/>
      <c r="F457" s="968"/>
      <c r="G457" s="968"/>
      <c r="H457" s="968"/>
      <c r="I457" s="968"/>
      <c r="J457" s="968"/>
      <c r="K457" s="967"/>
      <c r="L457" s="967"/>
      <c r="M457" s="967"/>
      <c r="N457" s="967"/>
      <c r="O457" s="1007"/>
      <c r="P457" s="1007"/>
      <c r="Q457" s="1008"/>
    </row>
    <row r="458" spans="1:17" hidden="1">
      <c r="A458" s="966"/>
      <c r="B458" s="967"/>
      <c r="C458" s="967">
        <v>413</v>
      </c>
      <c r="D458" s="967"/>
      <c r="E458" s="968"/>
      <c r="F458" s="968"/>
      <c r="G458" s="968"/>
      <c r="H458" s="968"/>
      <c r="I458" s="968"/>
      <c r="J458" s="968"/>
      <c r="K458" s="967"/>
      <c r="L458" s="967"/>
      <c r="M458" s="967"/>
      <c r="N458" s="967"/>
      <c r="O458" s="1007"/>
      <c r="P458" s="1007"/>
      <c r="Q458" s="1008"/>
    </row>
    <row r="459" spans="1:17" hidden="1">
      <c r="A459" s="966"/>
      <c r="B459" s="967"/>
      <c r="C459" s="967">
        <v>414</v>
      </c>
      <c r="D459" s="967"/>
      <c r="E459" s="968"/>
      <c r="F459" s="968"/>
      <c r="G459" s="968"/>
      <c r="H459" s="968"/>
      <c r="I459" s="968"/>
      <c r="J459" s="968"/>
      <c r="K459" s="967"/>
      <c r="L459" s="967"/>
      <c r="M459" s="967"/>
      <c r="N459" s="967"/>
      <c r="O459" s="1007"/>
      <c r="P459" s="1007"/>
      <c r="Q459" s="1008"/>
    </row>
    <row r="460" spans="1:17" hidden="1">
      <c r="A460" s="966"/>
      <c r="B460" s="967"/>
      <c r="C460" s="967">
        <v>415</v>
      </c>
      <c r="D460" s="967"/>
      <c r="E460" s="968"/>
      <c r="F460" s="968"/>
      <c r="G460" s="968"/>
      <c r="H460" s="968"/>
      <c r="I460" s="968"/>
      <c r="J460" s="968"/>
      <c r="K460" s="967"/>
      <c r="L460" s="967"/>
      <c r="M460" s="967"/>
      <c r="N460" s="967"/>
      <c r="O460" s="1007"/>
      <c r="P460" s="1007"/>
      <c r="Q460" s="1008"/>
    </row>
    <row r="461" spans="1:17" hidden="1">
      <c r="A461" s="966"/>
      <c r="B461" s="967"/>
      <c r="C461" s="967">
        <v>416</v>
      </c>
      <c r="D461" s="967"/>
      <c r="E461" s="968"/>
      <c r="F461" s="968"/>
      <c r="G461" s="968"/>
      <c r="H461" s="968"/>
      <c r="I461" s="968"/>
      <c r="J461" s="968"/>
      <c r="K461" s="967"/>
      <c r="L461" s="967"/>
      <c r="M461" s="967"/>
      <c r="N461" s="967"/>
      <c r="O461" s="1007"/>
      <c r="P461" s="1007"/>
      <c r="Q461" s="1008"/>
    </row>
    <row r="462" spans="1:17" hidden="1">
      <c r="A462" s="966"/>
      <c r="B462" s="967"/>
      <c r="C462" s="967">
        <v>417</v>
      </c>
      <c r="D462" s="967"/>
      <c r="E462" s="968"/>
      <c r="F462" s="968"/>
      <c r="G462" s="968"/>
      <c r="H462" s="968"/>
      <c r="I462" s="968"/>
      <c r="J462" s="968"/>
      <c r="K462" s="967"/>
      <c r="L462" s="967"/>
      <c r="M462" s="967"/>
      <c r="N462" s="967"/>
      <c r="O462" s="1007"/>
      <c r="P462" s="1007"/>
      <c r="Q462" s="1008"/>
    </row>
    <row r="463" spans="1:17" hidden="1">
      <c r="A463" s="966"/>
      <c r="B463" s="967"/>
      <c r="C463" s="967">
        <v>418</v>
      </c>
      <c r="D463" s="967"/>
      <c r="E463" s="968"/>
      <c r="F463" s="968"/>
      <c r="G463" s="968"/>
      <c r="H463" s="968"/>
      <c r="I463" s="968"/>
      <c r="J463" s="968"/>
      <c r="K463" s="967"/>
      <c r="L463" s="967"/>
      <c r="M463" s="967"/>
      <c r="N463" s="967"/>
      <c r="O463" s="1007"/>
      <c r="P463" s="1007"/>
      <c r="Q463" s="1008"/>
    </row>
    <row r="464" spans="1:17" hidden="1">
      <c r="A464" s="966"/>
      <c r="B464" s="967"/>
      <c r="C464" s="967">
        <v>419</v>
      </c>
      <c r="D464" s="967"/>
      <c r="E464" s="968"/>
      <c r="F464" s="968"/>
      <c r="G464" s="968"/>
      <c r="H464" s="968"/>
      <c r="I464" s="968"/>
      <c r="J464" s="968"/>
      <c r="K464" s="967"/>
      <c r="L464" s="967"/>
      <c r="M464" s="967"/>
      <c r="N464" s="967"/>
      <c r="O464" s="1007"/>
      <c r="P464" s="1007"/>
      <c r="Q464" s="1008"/>
    </row>
    <row r="465" spans="1:17" hidden="1">
      <c r="A465" s="966"/>
      <c r="B465" s="967"/>
      <c r="C465" s="967">
        <v>420</v>
      </c>
      <c r="D465" s="967"/>
      <c r="E465" s="968"/>
      <c r="F465" s="968"/>
      <c r="G465" s="968"/>
      <c r="H465" s="968"/>
      <c r="I465" s="968"/>
      <c r="J465" s="968"/>
      <c r="K465" s="967"/>
      <c r="L465" s="967"/>
      <c r="M465" s="967"/>
      <c r="N465" s="967"/>
      <c r="O465" s="1007"/>
      <c r="P465" s="1007"/>
      <c r="Q465" s="1008"/>
    </row>
    <row r="466" spans="1:17" hidden="1">
      <c r="A466" s="966"/>
      <c r="B466" s="967"/>
      <c r="C466" s="967">
        <v>421</v>
      </c>
      <c r="D466" s="967"/>
      <c r="E466" s="968"/>
      <c r="F466" s="968"/>
      <c r="G466" s="968"/>
      <c r="H466" s="968"/>
      <c r="I466" s="968"/>
      <c r="J466" s="968"/>
      <c r="K466" s="967"/>
      <c r="L466" s="967"/>
      <c r="M466" s="967"/>
      <c r="N466" s="967"/>
      <c r="O466" s="1007"/>
      <c r="P466" s="1007"/>
      <c r="Q466" s="1008"/>
    </row>
    <row r="467" spans="1:17" hidden="1">
      <c r="A467" s="966"/>
      <c r="B467" s="967"/>
      <c r="C467" s="967">
        <v>422</v>
      </c>
      <c r="D467" s="967"/>
      <c r="E467" s="968"/>
      <c r="F467" s="968"/>
      <c r="G467" s="968"/>
      <c r="H467" s="968"/>
      <c r="I467" s="968"/>
      <c r="J467" s="968"/>
      <c r="K467" s="967"/>
      <c r="L467" s="967"/>
      <c r="M467" s="967"/>
      <c r="N467" s="967"/>
      <c r="O467" s="1007"/>
      <c r="P467" s="1007"/>
      <c r="Q467" s="1008"/>
    </row>
    <row r="468" spans="1:17" hidden="1">
      <c r="A468" s="966"/>
      <c r="B468" s="967"/>
      <c r="C468" s="967">
        <v>423</v>
      </c>
      <c r="D468" s="967"/>
      <c r="E468" s="968"/>
      <c r="F468" s="968"/>
      <c r="G468" s="968"/>
      <c r="H468" s="968"/>
      <c r="I468" s="968"/>
      <c r="J468" s="968"/>
      <c r="K468" s="967"/>
      <c r="L468" s="967"/>
      <c r="M468" s="967"/>
      <c r="N468" s="967"/>
      <c r="O468" s="1007"/>
      <c r="P468" s="1007"/>
      <c r="Q468" s="1008"/>
    </row>
    <row r="469" spans="1:17" hidden="1">
      <c r="A469" s="966"/>
      <c r="B469" s="967"/>
      <c r="C469" s="967">
        <v>424</v>
      </c>
      <c r="D469" s="967"/>
      <c r="E469" s="968"/>
      <c r="F469" s="968"/>
      <c r="G469" s="968"/>
      <c r="H469" s="968"/>
      <c r="I469" s="968"/>
      <c r="J469" s="968"/>
      <c r="K469" s="967"/>
      <c r="L469" s="967"/>
      <c r="M469" s="967"/>
      <c r="N469" s="967"/>
      <c r="O469" s="1007"/>
      <c r="P469" s="1007"/>
      <c r="Q469" s="1008"/>
    </row>
    <row r="470" spans="1:17" hidden="1">
      <c r="A470" s="966"/>
      <c r="B470" s="967"/>
      <c r="C470" s="967">
        <v>425</v>
      </c>
      <c r="D470" s="967"/>
      <c r="E470" s="968"/>
      <c r="F470" s="968"/>
      <c r="G470" s="968"/>
      <c r="H470" s="968"/>
      <c r="I470" s="968"/>
      <c r="J470" s="968"/>
      <c r="K470" s="967"/>
      <c r="L470" s="967"/>
      <c r="M470" s="967"/>
      <c r="N470" s="967"/>
      <c r="O470" s="1007"/>
      <c r="P470" s="1007"/>
      <c r="Q470" s="1008"/>
    </row>
    <row r="471" spans="1:17" hidden="1">
      <c r="A471" s="966"/>
      <c r="B471" s="967"/>
      <c r="C471" s="967">
        <v>426</v>
      </c>
      <c r="D471" s="967"/>
      <c r="E471" s="968"/>
      <c r="F471" s="968"/>
      <c r="G471" s="968"/>
      <c r="H471" s="968"/>
      <c r="I471" s="968"/>
      <c r="J471" s="968"/>
      <c r="K471" s="967"/>
      <c r="L471" s="967"/>
      <c r="M471" s="967"/>
      <c r="N471" s="967"/>
      <c r="O471" s="1007"/>
      <c r="P471" s="1007"/>
      <c r="Q471" s="1008"/>
    </row>
    <row r="472" spans="1:17" hidden="1">
      <c r="A472" s="966"/>
      <c r="B472" s="967"/>
      <c r="C472" s="967">
        <v>427</v>
      </c>
      <c r="D472" s="967"/>
      <c r="E472" s="968"/>
      <c r="F472" s="968"/>
      <c r="G472" s="968"/>
      <c r="H472" s="968"/>
      <c r="I472" s="968"/>
      <c r="J472" s="968"/>
      <c r="K472" s="967"/>
      <c r="L472" s="967"/>
      <c r="M472" s="967"/>
      <c r="N472" s="967"/>
      <c r="O472" s="1007"/>
      <c r="P472" s="1007"/>
      <c r="Q472" s="1008"/>
    </row>
    <row r="473" spans="1:17" hidden="1">
      <c r="A473" s="966"/>
      <c r="B473" s="967"/>
      <c r="C473" s="967">
        <v>428</v>
      </c>
      <c r="D473" s="967"/>
      <c r="E473" s="968"/>
      <c r="F473" s="968"/>
      <c r="G473" s="968"/>
      <c r="H473" s="968"/>
      <c r="I473" s="968"/>
      <c r="J473" s="968"/>
      <c r="K473" s="967"/>
      <c r="L473" s="967"/>
      <c r="M473" s="967"/>
      <c r="N473" s="967"/>
      <c r="O473" s="1007"/>
      <c r="P473" s="1007"/>
      <c r="Q473" s="1008"/>
    </row>
    <row r="474" spans="1:17" hidden="1">
      <c r="A474" s="966"/>
      <c r="B474" s="967"/>
      <c r="C474" s="967">
        <v>429</v>
      </c>
      <c r="D474" s="967"/>
      <c r="E474" s="968"/>
      <c r="F474" s="968"/>
      <c r="G474" s="968"/>
      <c r="H474" s="968"/>
      <c r="I474" s="968"/>
      <c r="J474" s="968"/>
      <c r="K474" s="967"/>
      <c r="L474" s="967"/>
      <c r="M474" s="967"/>
      <c r="N474" s="967"/>
      <c r="O474" s="1007"/>
      <c r="P474" s="1007"/>
      <c r="Q474" s="1008"/>
    </row>
    <row r="475" spans="1:17" hidden="1">
      <c r="A475" s="966"/>
      <c r="B475" s="967"/>
      <c r="C475" s="967">
        <v>430</v>
      </c>
      <c r="D475" s="967"/>
      <c r="E475" s="968"/>
      <c r="F475" s="968"/>
      <c r="G475" s="968"/>
      <c r="H475" s="968"/>
      <c r="I475" s="968"/>
      <c r="J475" s="968"/>
      <c r="K475" s="967"/>
      <c r="L475" s="967"/>
      <c r="M475" s="967"/>
      <c r="N475" s="967"/>
      <c r="O475" s="1007"/>
      <c r="P475" s="1007"/>
      <c r="Q475" s="1008"/>
    </row>
    <row r="476" spans="1:17" hidden="1">
      <c r="A476" s="966"/>
      <c r="B476" s="967"/>
      <c r="C476" s="967">
        <v>431</v>
      </c>
      <c r="D476" s="967"/>
      <c r="E476" s="968"/>
      <c r="F476" s="968"/>
      <c r="G476" s="968"/>
      <c r="H476" s="968"/>
      <c r="I476" s="968"/>
      <c r="J476" s="968"/>
      <c r="K476" s="967"/>
      <c r="L476" s="967"/>
      <c r="M476" s="967"/>
      <c r="N476" s="967"/>
      <c r="O476" s="1007"/>
      <c r="P476" s="1007"/>
      <c r="Q476" s="1008"/>
    </row>
    <row r="477" spans="1:17" hidden="1">
      <c r="A477" s="966"/>
      <c r="B477" s="967"/>
      <c r="C477" s="967">
        <v>432</v>
      </c>
      <c r="D477" s="967"/>
      <c r="E477" s="968"/>
      <c r="F477" s="968"/>
      <c r="G477" s="968"/>
      <c r="H477" s="968"/>
      <c r="I477" s="968"/>
      <c r="J477" s="968"/>
      <c r="K477" s="967"/>
      <c r="L477" s="967"/>
      <c r="M477" s="967"/>
      <c r="N477" s="967"/>
      <c r="O477" s="1007"/>
      <c r="P477" s="1007"/>
      <c r="Q477" s="1008"/>
    </row>
    <row r="478" spans="1:17" hidden="1">
      <c r="A478" s="966"/>
      <c r="B478" s="967"/>
      <c r="C478" s="967">
        <v>433</v>
      </c>
      <c r="D478" s="967"/>
      <c r="E478" s="968"/>
      <c r="F478" s="968"/>
      <c r="G478" s="968"/>
      <c r="H478" s="968"/>
      <c r="I478" s="968"/>
      <c r="J478" s="968"/>
      <c r="K478" s="967"/>
      <c r="L478" s="967"/>
      <c r="M478" s="967"/>
      <c r="N478" s="967"/>
      <c r="O478" s="1007"/>
      <c r="P478" s="1007"/>
      <c r="Q478" s="1008"/>
    </row>
    <row r="479" spans="1:17" hidden="1">
      <c r="A479" s="966"/>
      <c r="B479" s="967"/>
      <c r="C479" s="967">
        <v>434</v>
      </c>
      <c r="D479" s="967"/>
      <c r="E479" s="968"/>
      <c r="F479" s="968"/>
      <c r="G479" s="968"/>
      <c r="H479" s="968"/>
      <c r="I479" s="968"/>
      <c r="J479" s="968"/>
      <c r="K479" s="967"/>
      <c r="L479" s="967"/>
      <c r="M479" s="967"/>
      <c r="N479" s="967"/>
      <c r="O479" s="1007"/>
      <c r="P479" s="1007"/>
      <c r="Q479" s="1008"/>
    </row>
    <row r="480" spans="1:17" hidden="1">
      <c r="A480" s="966"/>
      <c r="B480" s="967"/>
      <c r="C480" s="967">
        <v>435</v>
      </c>
      <c r="D480" s="967"/>
      <c r="E480" s="968"/>
      <c r="F480" s="968"/>
      <c r="G480" s="968"/>
      <c r="H480" s="968"/>
      <c r="I480" s="968"/>
      <c r="J480" s="968"/>
      <c r="K480" s="967"/>
      <c r="L480" s="967"/>
      <c r="M480" s="967"/>
      <c r="N480" s="967"/>
      <c r="O480" s="1007"/>
      <c r="P480" s="1007"/>
      <c r="Q480" s="1008"/>
    </row>
    <row r="481" spans="1:17" hidden="1">
      <c r="A481" s="966"/>
      <c r="B481" s="967"/>
      <c r="C481" s="967">
        <v>436</v>
      </c>
      <c r="D481" s="967"/>
      <c r="E481" s="968"/>
      <c r="F481" s="968"/>
      <c r="G481" s="968"/>
      <c r="H481" s="968"/>
      <c r="I481" s="968"/>
      <c r="J481" s="968"/>
      <c r="K481" s="967"/>
      <c r="L481" s="967"/>
      <c r="M481" s="967"/>
      <c r="N481" s="967"/>
      <c r="O481" s="1007"/>
      <c r="P481" s="1007"/>
      <c r="Q481" s="1008"/>
    </row>
    <row r="482" spans="1:17" hidden="1">
      <c r="A482" s="966"/>
      <c r="B482" s="967"/>
      <c r="C482" s="967">
        <v>437</v>
      </c>
      <c r="D482" s="967"/>
      <c r="E482" s="968"/>
      <c r="F482" s="968"/>
      <c r="G482" s="968"/>
      <c r="H482" s="968"/>
      <c r="I482" s="968"/>
      <c r="J482" s="968"/>
      <c r="K482" s="967"/>
      <c r="L482" s="967"/>
      <c r="M482" s="967"/>
      <c r="N482" s="967"/>
      <c r="O482" s="1007"/>
      <c r="P482" s="1007"/>
      <c r="Q482" s="1008"/>
    </row>
    <row r="483" spans="1:17" hidden="1">
      <c r="A483" s="966"/>
      <c r="B483" s="967"/>
      <c r="C483" s="967">
        <v>438</v>
      </c>
      <c r="D483" s="967"/>
      <c r="E483" s="968"/>
      <c r="F483" s="968"/>
      <c r="G483" s="968"/>
      <c r="H483" s="968"/>
      <c r="I483" s="968"/>
      <c r="J483" s="968"/>
      <c r="K483" s="967"/>
      <c r="L483" s="967"/>
      <c r="M483" s="967"/>
      <c r="N483" s="967"/>
      <c r="O483" s="1007"/>
      <c r="P483" s="1007"/>
      <c r="Q483" s="1008"/>
    </row>
    <row r="484" spans="1:17" hidden="1">
      <c r="A484" s="966"/>
      <c r="B484" s="967"/>
      <c r="C484" s="967">
        <v>439</v>
      </c>
      <c r="D484" s="967"/>
      <c r="E484" s="968"/>
      <c r="F484" s="968"/>
      <c r="G484" s="968"/>
      <c r="H484" s="968"/>
      <c r="I484" s="968"/>
      <c r="J484" s="968"/>
      <c r="K484" s="967"/>
      <c r="L484" s="967"/>
      <c r="M484" s="967"/>
      <c r="N484" s="967"/>
      <c r="O484" s="1007"/>
      <c r="P484" s="1007"/>
      <c r="Q484" s="1008"/>
    </row>
    <row r="485" spans="1:17" hidden="1">
      <c r="A485" s="966"/>
      <c r="B485" s="967"/>
      <c r="C485" s="967">
        <v>440</v>
      </c>
      <c r="D485" s="967"/>
      <c r="E485" s="968"/>
      <c r="F485" s="968"/>
      <c r="G485" s="968"/>
      <c r="H485" s="968"/>
      <c r="I485" s="968"/>
      <c r="J485" s="968"/>
      <c r="K485" s="967"/>
      <c r="L485" s="967"/>
      <c r="M485" s="967"/>
      <c r="N485" s="967"/>
      <c r="O485" s="1007"/>
      <c r="P485" s="1007"/>
      <c r="Q485" s="1008"/>
    </row>
    <row r="486" spans="1:17" hidden="1">
      <c r="A486" s="966"/>
      <c r="B486" s="967"/>
      <c r="C486" s="967">
        <v>441</v>
      </c>
      <c r="D486" s="967"/>
      <c r="E486" s="968"/>
      <c r="F486" s="968"/>
      <c r="G486" s="968"/>
      <c r="H486" s="968"/>
      <c r="I486" s="968"/>
      <c r="J486" s="968"/>
      <c r="K486" s="967"/>
      <c r="L486" s="967"/>
      <c r="M486" s="967"/>
      <c r="N486" s="967"/>
      <c r="O486" s="1007"/>
      <c r="P486" s="1007"/>
      <c r="Q486" s="1008"/>
    </row>
    <row r="487" spans="1:17" hidden="1">
      <c r="A487" s="966"/>
      <c r="B487" s="967"/>
      <c r="C487" s="967">
        <v>442</v>
      </c>
      <c r="D487" s="967"/>
      <c r="E487" s="968"/>
      <c r="F487" s="968"/>
      <c r="G487" s="968"/>
      <c r="H487" s="968"/>
      <c r="I487" s="968"/>
      <c r="J487" s="968"/>
      <c r="K487" s="967"/>
      <c r="L487" s="967"/>
      <c r="M487" s="967"/>
      <c r="N487" s="967"/>
      <c r="O487" s="1007"/>
      <c r="P487" s="1007"/>
      <c r="Q487" s="1008"/>
    </row>
    <row r="488" spans="1:17" hidden="1">
      <c r="A488" s="966"/>
      <c r="B488" s="967"/>
      <c r="C488" s="967">
        <v>443</v>
      </c>
      <c r="D488" s="967"/>
      <c r="E488" s="968"/>
      <c r="F488" s="968"/>
      <c r="G488" s="968"/>
      <c r="H488" s="968"/>
      <c r="I488" s="968"/>
      <c r="J488" s="968"/>
      <c r="K488" s="967"/>
      <c r="L488" s="967"/>
      <c r="M488" s="967"/>
      <c r="N488" s="967"/>
      <c r="O488" s="1007"/>
      <c r="P488" s="1007"/>
      <c r="Q488" s="1008"/>
    </row>
    <row r="489" spans="1:17" hidden="1">
      <c r="A489" s="966"/>
      <c r="B489" s="967"/>
      <c r="C489" s="967">
        <v>444</v>
      </c>
      <c r="D489" s="967"/>
      <c r="E489" s="968"/>
      <c r="F489" s="968"/>
      <c r="G489" s="968"/>
      <c r="H489" s="968"/>
      <c r="I489" s="968"/>
      <c r="J489" s="968"/>
      <c r="K489" s="967"/>
      <c r="L489" s="967"/>
      <c r="M489" s="967"/>
      <c r="N489" s="967"/>
      <c r="O489" s="1007"/>
      <c r="P489" s="1007"/>
      <c r="Q489" s="1008"/>
    </row>
    <row r="490" spans="1:17" hidden="1">
      <c r="A490" s="966"/>
      <c r="B490" s="967"/>
      <c r="C490" s="967">
        <v>445</v>
      </c>
      <c r="D490" s="967"/>
      <c r="E490" s="968"/>
      <c r="F490" s="968"/>
      <c r="G490" s="968"/>
      <c r="H490" s="968"/>
      <c r="I490" s="968"/>
      <c r="J490" s="968"/>
      <c r="K490" s="967"/>
      <c r="L490" s="967"/>
      <c r="M490" s="967"/>
      <c r="N490" s="967"/>
      <c r="O490" s="1007"/>
      <c r="P490" s="1007"/>
      <c r="Q490" s="1008"/>
    </row>
    <row r="491" spans="1:17" hidden="1">
      <c r="A491" s="966"/>
      <c r="B491" s="967"/>
      <c r="C491" s="967">
        <v>446</v>
      </c>
      <c r="D491" s="967"/>
      <c r="E491" s="968"/>
      <c r="F491" s="968"/>
      <c r="G491" s="968"/>
      <c r="H491" s="968"/>
      <c r="I491" s="968"/>
      <c r="J491" s="968"/>
      <c r="K491" s="967"/>
      <c r="L491" s="967"/>
      <c r="M491" s="967"/>
      <c r="N491" s="967"/>
      <c r="O491" s="1007"/>
      <c r="P491" s="1007"/>
      <c r="Q491" s="1008"/>
    </row>
    <row r="492" spans="1:17" hidden="1">
      <c r="A492" s="966"/>
      <c r="B492" s="967"/>
      <c r="C492" s="967">
        <v>447</v>
      </c>
      <c r="D492" s="967"/>
      <c r="E492" s="968"/>
      <c r="F492" s="968"/>
      <c r="G492" s="968"/>
      <c r="H492" s="968"/>
      <c r="I492" s="968"/>
      <c r="J492" s="968"/>
      <c r="K492" s="967"/>
      <c r="L492" s="967"/>
      <c r="M492" s="967"/>
      <c r="N492" s="967"/>
      <c r="O492" s="1007"/>
      <c r="P492" s="1007"/>
      <c r="Q492" s="1008"/>
    </row>
    <row r="493" spans="1:17" hidden="1">
      <c r="A493" s="966"/>
      <c r="B493" s="967"/>
      <c r="C493" s="967">
        <v>448</v>
      </c>
      <c r="D493" s="967"/>
      <c r="E493" s="968"/>
      <c r="F493" s="968"/>
      <c r="G493" s="968"/>
      <c r="H493" s="968"/>
      <c r="I493" s="968"/>
      <c r="J493" s="968"/>
      <c r="K493" s="967"/>
      <c r="L493" s="967"/>
      <c r="M493" s="967"/>
      <c r="N493" s="967"/>
      <c r="O493" s="1007"/>
      <c r="P493" s="1007"/>
      <c r="Q493" s="1008"/>
    </row>
    <row r="494" spans="1:17" hidden="1">
      <c r="A494" s="966"/>
      <c r="B494" s="967"/>
      <c r="C494" s="967">
        <v>449</v>
      </c>
      <c r="D494" s="967"/>
      <c r="E494" s="968"/>
      <c r="F494" s="968"/>
      <c r="G494" s="968"/>
      <c r="H494" s="968"/>
      <c r="I494" s="968"/>
      <c r="J494" s="968"/>
      <c r="K494" s="967"/>
      <c r="L494" s="967"/>
      <c r="M494" s="967"/>
      <c r="N494" s="967"/>
      <c r="O494" s="1007"/>
      <c r="P494" s="1007"/>
      <c r="Q494" s="1008"/>
    </row>
    <row r="495" spans="1:17" hidden="1">
      <c r="A495" s="966"/>
      <c r="B495" s="967"/>
      <c r="C495" s="967">
        <v>450</v>
      </c>
      <c r="D495" s="967"/>
      <c r="E495" s="968"/>
      <c r="F495" s="968"/>
      <c r="G495" s="968"/>
      <c r="H495" s="968"/>
      <c r="I495" s="968"/>
      <c r="J495" s="968"/>
      <c r="K495" s="967"/>
      <c r="L495" s="967"/>
      <c r="M495" s="967"/>
      <c r="N495" s="967"/>
      <c r="O495" s="1007"/>
      <c r="P495" s="1007"/>
      <c r="Q495" s="1008"/>
    </row>
    <row r="496" spans="1:17" hidden="1">
      <c r="A496" s="966"/>
      <c r="B496" s="967"/>
      <c r="C496" s="967">
        <v>451</v>
      </c>
      <c r="D496" s="967"/>
      <c r="E496" s="968"/>
      <c r="F496" s="968"/>
      <c r="G496" s="968"/>
      <c r="H496" s="968"/>
      <c r="I496" s="968"/>
      <c r="J496" s="968"/>
      <c r="K496" s="967"/>
      <c r="L496" s="967"/>
      <c r="M496" s="967"/>
      <c r="N496" s="967"/>
      <c r="O496" s="1007"/>
      <c r="P496" s="1007"/>
      <c r="Q496" s="1008"/>
    </row>
    <row r="497" spans="1:17" hidden="1">
      <c r="A497" s="966"/>
      <c r="B497" s="967"/>
      <c r="C497" s="967">
        <v>452</v>
      </c>
      <c r="D497" s="967"/>
      <c r="E497" s="968"/>
      <c r="F497" s="968"/>
      <c r="G497" s="968"/>
      <c r="H497" s="968"/>
      <c r="I497" s="968"/>
      <c r="J497" s="968"/>
      <c r="K497" s="967"/>
      <c r="L497" s="967"/>
      <c r="M497" s="967"/>
      <c r="N497" s="967"/>
      <c r="O497" s="1007"/>
      <c r="P497" s="1007"/>
      <c r="Q497" s="1008"/>
    </row>
    <row r="498" spans="1:17" hidden="1">
      <c r="A498" s="966"/>
      <c r="B498" s="967"/>
      <c r="C498" s="967">
        <v>453</v>
      </c>
      <c r="D498" s="967"/>
      <c r="E498" s="968"/>
      <c r="F498" s="968"/>
      <c r="G498" s="968"/>
      <c r="H498" s="968"/>
      <c r="I498" s="968"/>
      <c r="J498" s="968"/>
      <c r="K498" s="967"/>
      <c r="L498" s="967"/>
      <c r="M498" s="967"/>
      <c r="N498" s="967"/>
      <c r="O498" s="1007"/>
      <c r="P498" s="1007"/>
      <c r="Q498" s="1008"/>
    </row>
    <row r="499" spans="1:17" hidden="1">
      <c r="A499" s="966"/>
      <c r="B499" s="967"/>
      <c r="C499" s="967">
        <v>454</v>
      </c>
      <c r="D499" s="967"/>
      <c r="E499" s="968"/>
      <c r="F499" s="968"/>
      <c r="G499" s="968"/>
      <c r="H499" s="968"/>
      <c r="I499" s="968"/>
      <c r="J499" s="968"/>
      <c r="K499" s="967"/>
      <c r="L499" s="967"/>
      <c r="M499" s="967"/>
      <c r="N499" s="967"/>
      <c r="O499" s="1007"/>
      <c r="P499" s="1007"/>
      <c r="Q499" s="1008"/>
    </row>
    <row r="500" spans="1:17" hidden="1">
      <c r="A500" s="966"/>
      <c r="B500" s="967"/>
      <c r="C500" s="967">
        <v>455</v>
      </c>
      <c r="D500" s="967"/>
      <c r="E500" s="968"/>
      <c r="F500" s="968"/>
      <c r="G500" s="968"/>
      <c r="H500" s="968"/>
      <c r="I500" s="968"/>
      <c r="J500" s="968"/>
      <c r="K500" s="967"/>
      <c r="L500" s="967"/>
      <c r="M500" s="967"/>
      <c r="N500" s="967"/>
      <c r="O500" s="1007"/>
      <c r="P500" s="1007"/>
      <c r="Q500" s="1008"/>
    </row>
    <row r="501" spans="1:17" hidden="1">
      <c r="A501" s="966"/>
      <c r="B501" s="967"/>
      <c r="C501" s="967">
        <v>456</v>
      </c>
      <c r="D501" s="967"/>
      <c r="E501" s="968"/>
      <c r="F501" s="968"/>
      <c r="G501" s="968"/>
      <c r="H501" s="968"/>
      <c r="I501" s="968"/>
      <c r="J501" s="968"/>
      <c r="K501" s="967"/>
      <c r="L501" s="967"/>
      <c r="M501" s="967"/>
      <c r="N501" s="967"/>
      <c r="O501" s="1007"/>
      <c r="P501" s="1007"/>
      <c r="Q501" s="1008"/>
    </row>
    <row r="502" spans="1:17" hidden="1">
      <c r="A502" s="966"/>
      <c r="B502" s="967"/>
      <c r="C502" s="967">
        <v>457</v>
      </c>
      <c r="D502" s="967"/>
      <c r="E502" s="968"/>
      <c r="F502" s="968"/>
      <c r="G502" s="968"/>
      <c r="H502" s="968"/>
      <c r="I502" s="968"/>
      <c r="J502" s="968"/>
      <c r="K502" s="967"/>
      <c r="L502" s="967"/>
      <c r="M502" s="967"/>
      <c r="N502" s="967"/>
      <c r="O502" s="1007"/>
      <c r="P502" s="1007"/>
      <c r="Q502" s="1008"/>
    </row>
    <row r="503" spans="1:17" hidden="1">
      <c r="A503" s="966"/>
      <c r="B503" s="967"/>
      <c r="C503" s="967">
        <v>458</v>
      </c>
      <c r="D503" s="967"/>
      <c r="E503" s="968"/>
      <c r="F503" s="968"/>
      <c r="G503" s="968"/>
      <c r="H503" s="968"/>
      <c r="I503" s="968"/>
      <c r="J503" s="968"/>
      <c r="K503" s="967"/>
      <c r="L503" s="967"/>
      <c r="M503" s="967"/>
      <c r="N503" s="967"/>
      <c r="O503" s="1007"/>
      <c r="P503" s="1007"/>
      <c r="Q503" s="1008"/>
    </row>
    <row r="504" spans="1:17" hidden="1">
      <c r="A504" s="966"/>
      <c r="B504" s="967"/>
      <c r="C504" s="967">
        <v>459</v>
      </c>
      <c r="D504" s="967"/>
      <c r="E504" s="968"/>
      <c r="F504" s="968"/>
      <c r="G504" s="968"/>
      <c r="H504" s="968"/>
      <c r="I504" s="968"/>
      <c r="J504" s="968"/>
      <c r="K504" s="967"/>
      <c r="L504" s="967"/>
      <c r="M504" s="967"/>
      <c r="N504" s="967"/>
      <c r="O504" s="1007"/>
      <c r="P504" s="1007"/>
      <c r="Q504" s="1008"/>
    </row>
    <row r="505" spans="1:17" hidden="1">
      <c r="A505" s="966"/>
      <c r="B505" s="967"/>
      <c r="C505" s="967">
        <v>460</v>
      </c>
      <c r="D505" s="967"/>
      <c r="E505" s="968"/>
      <c r="F505" s="968"/>
      <c r="G505" s="968"/>
      <c r="H505" s="968"/>
      <c r="I505" s="968"/>
      <c r="J505" s="968"/>
      <c r="K505" s="967"/>
      <c r="L505" s="967"/>
      <c r="M505" s="967"/>
      <c r="N505" s="967"/>
      <c r="O505" s="1007"/>
      <c r="P505" s="1007"/>
      <c r="Q505" s="1008"/>
    </row>
    <row r="506" spans="1:17" hidden="1">
      <c r="A506" s="966"/>
      <c r="B506" s="967"/>
      <c r="C506" s="967">
        <v>461</v>
      </c>
      <c r="D506" s="967"/>
      <c r="E506" s="968"/>
      <c r="F506" s="968"/>
      <c r="G506" s="968"/>
      <c r="H506" s="968"/>
      <c r="I506" s="968"/>
      <c r="J506" s="968"/>
      <c r="K506" s="967"/>
      <c r="L506" s="967"/>
      <c r="M506" s="967"/>
      <c r="N506" s="967"/>
      <c r="O506" s="1007"/>
      <c r="P506" s="1007"/>
      <c r="Q506" s="1008"/>
    </row>
    <row r="507" spans="1:17" hidden="1">
      <c r="A507" s="966"/>
      <c r="B507" s="967"/>
      <c r="C507" s="967">
        <v>462</v>
      </c>
      <c r="D507" s="967"/>
      <c r="E507" s="968"/>
      <c r="F507" s="968"/>
      <c r="G507" s="968"/>
      <c r="H507" s="968"/>
      <c r="I507" s="968"/>
      <c r="J507" s="968"/>
      <c r="K507" s="967"/>
      <c r="L507" s="967"/>
      <c r="M507" s="967"/>
      <c r="N507" s="967"/>
      <c r="O507" s="1007"/>
      <c r="P507" s="1007"/>
      <c r="Q507" s="1008"/>
    </row>
    <row r="508" spans="1:17" hidden="1">
      <c r="A508" s="966"/>
      <c r="B508" s="967"/>
      <c r="C508" s="967">
        <v>463</v>
      </c>
      <c r="D508" s="967"/>
      <c r="E508" s="968"/>
      <c r="F508" s="968"/>
      <c r="G508" s="968"/>
      <c r="H508" s="968"/>
      <c r="I508" s="968"/>
      <c r="J508" s="968"/>
      <c r="K508" s="967"/>
      <c r="L508" s="967"/>
      <c r="M508" s="967"/>
      <c r="N508" s="967"/>
      <c r="O508" s="1007"/>
      <c r="P508" s="1007"/>
      <c r="Q508" s="1008"/>
    </row>
    <row r="509" spans="1:17" hidden="1">
      <c r="A509" s="966"/>
      <c r="B509" s="967"/>
      <c r="C509" s="967">
        <v>464</v>
      </c>
      <c r="D509" s="967"/>
      <c r="E509" s="968"/>
      <c r="F509" s="968"/>
      <c r="G509" s="968"/>
      <c r="H509" s="968"/>
      <c r="I509" s="968"/>
      <c r="J509" s="968"/>
      <c r="K509" s="967"/>
      <c r="L509" s="967"/>
      <c r="M509" s="967"/>
      <c r="N509" s="967"/>
      <c r="O509" s="1007"/>
      <c r="P509" s="1007"/>
      <c r="Q509" s="1008"/>
    </row>
    <row r="510" spans="1:17" hidden="1">
      <c r="A510" s="966"/>
      <c r="B510" s="967"/>
      <c r="C510" s="967">
        <v>465</v>
      </c>
      <c r="D510" s="967"/>
      <c r="E510" s="968"/>
      <c r="F510" s="968"/>
      <c r="G510" s="968"/>
      <c r="H510" s="968"/>
      <c r="I510" s="968"/>
      <c r="J510" s="968"/>
      <c r="K510" s="967"/>
      <c r="L510" s="967"/>
      <c r="M510" s="967"/>
      <c r="N510" s="967"/>
      <c r="O510" s="1007"/>
      <c r="P510" s="1007"/>
      <c r="Q510" s="1008"/>
    </row>
    <row r="511" spans="1:17" hidden="1">
      <c r="A511" s="966"/>
      <c r="B511" s="967"/>
      <c r="C511" s="967">
        <v>466</v>
      </c>
      <c r="D511" s="967"/>
      <c r="E511" s="968"/>
      <c r="F511" s="968"/>
      <c r="G511" s="968"/>
      <c r="H511" s="968"/>
      <c r="I511" s="968"/>
      <c r="J511" s="968"/>
      <c r="K511" s="967"/>
      <c r="L511" s="967"/>
      <c r="M511" s="967"/>
      <c r="N511" s="967"/>
      <c r="O511" s="1007"/>
      <c r="P511" s="1007"/>
      <c r="Q511" s="1008"/>
    </row>
    <row r="512" spans="1:17" hidden="1">
      <c r="A512" s="966"/>
      <c r="B512" s="967"/>
      <c r="C512" s="967">
        <v>467</v>
      </c>
      <c r="D512" s="967"/>
      <c r="E512" s="968"/>
      <c r="F512" s="968"/>
      <c r="G512" s="968"/>
      <c r="H512" s="968"/>
      <c r="I512" s="968"/>
      <c r="J512" s="968"/>
      <c r="K512" s="967"/>
      <c r="L512" s="967"/>
      <c r="M512" s="967"/>
      <c r="N512" s="967"/>
      <c r="O512" s="1007"/>
      <c r="P512" s="1007"/>
      <c r="Q512" s="1008"/>
    </row>
    <row r="513" spans="1:17" hidden="1">
      <c r="A513" s="966"/>
      <c r="B513" s="967"/>
      <c r="C513" s="967">
        <v>468</v>
      </c>
      <c r="D513" s="967"/>
      <c r="E513" s="968"/>
      <c r="F513" s="968"/>
      <c r="G513" s="968"/>
      <c r="H513" s="968"/>
      <c r="I513" s="968"/>
      <c r="J513" s="968"/>
      <c r="K513" s="967"/>
      <c r="L513" s="967"/>
      <c r="M513" s="967"/>
      <c r="N513" s="967"/>
      <c r="O513" s="1007"/>
      <c r="P513" s="1007"/>
      <c r="Q513" s="1008"/>
    </row>
    <row r="514" spans="1:17" hidden="1">
      <c r="A514" s="966"/>
      <c r="B514" s="967"/>
      <c r="C514" s="967">
        <v>469</v>
      </c>
      <c r="D514" s="967"/>
      <c r="E514" s="968"/>
      <c r="F514" s="968"/>
      <c r="G514" s="968"/>
      <c r="H514" s="968"/>
      <c r="I514" s="968"/>
      <c r="J514" s="968"/>
      <c r="K514" s="967"/>
      <c r="L514" s="967"/>
      <c r="M514" s="967"/>
      <c r="N514" s="967"/>
      <c r="O514" s="1007"/>
      <c r="P514" s="1007"/>
      <c r="Q514" s="1008"/>
    </row>
    <row r="515" spans="1:17" hidden="1">
      <c r="A515" s="966"/>
      <c r="B515" s="967"/>
      <c r="C515" s="967">
        <v>470</v>
      </c>
      <c r="D515" s="967"/>
      <c r="E515" s="968"/>
      <c r="F515" s="968"/>
      <c r="G515" s="968"/>
      <c r="H515" s="968"/>
      <c r="I515" s="968"/>
      <c r="J515" s="968"/>
      <c r="K515" s="967"/>
      <c r="L515" s="967"/>
      <c r="M515" s="967"/>
      <c r="N515" s="967"/>
      <c r="O515" s="1007"/>
      <c r="P515" s="1007"/>
      <c r="Q515" s="1008"/>
    </row>
    <row r="516" spans="1:17" hidden="1">
      <c r="A516" s="966"/>
      <c r="B516" s="967"/>
      <c r="C516" s="967">
        <v>471</v>
      </c>
      <c r="D516" s="967"/>
      <c r="E516" s="968"/>
      <c r="F516" s="968"/>
      <c r="G516" s="968"/>
      <c r="H516" s="968"/>
      <c r="I516" s="968"/>
      <c r="J516" s="968"/>
      <c r="K516" s="967"/>
      <c r="L516" s="967"/>
      <c r="M516" s="967"/>
      <c r="N516" s="967"/>
      <c r="O516" s="1007"/>
      <c r="P516" s="1007"/>
      <c r="Q516" s="1008"/>
    </row>
    <row r="517" spans="1:17" hidden="1">
      <c r="A517" s="966"/>
      <c r="B517" s="967"/>
      <c r="C517" s="967">
        <v>472</v>
      </c>
      <c r="D517" s="967"/>
      <c r="E517" s="968"/>
      <c r="F517" s="968"/>
      <c r="G517" s="968"/>
      <c r="H517" s="968"/>
      <c r="I517" s="968"/>
      <c r="J517" s="968"/>
      <c r="K517" s="967"/>
      <c r="L517" s="967"/>
      <c r="M517" s="967"/>
      <c r="N517" s="967"/>
      <c r="O517" s="1007"/>
      <c r="P517" s="1007"/>
      <c r="Q517" s="1008"/>
    </row>
    <row r="518" spans="1:17" hidden="1">
      <c r="A518" s="966"/>
      <c r="B518" s="967"/>
      <c r="C518" s="967">
        <v>473</v>
      </c>
      <c r="D518" s="967"/>
      <c r="E518" s="968"/>
      <c r="F518" s="968"/>
      <c r="G518" s="968"/>
      <c r="H518" s="968"/>
      <c r="I518" s="968"/>
      <c r="J518" s="968"/>
      <c r="K518" s="967"/>
      <c r="L518" s="967"/>
      <c r="M518" s="967"/>
      <c r="N518" s="967"/>
      <c r="O518" s="1007"/>
      <c r="P518" s="1007"/>
      <c r="Q518" s="1008"/>
    </row>
    <row r="519" spans="1:17" hidden="1">
      <c r="A519" s="966"/>
      <c r="B519" s="967"/>
      <c r="C519" s="967">
        <v>474</v>
      </c>
      <c r="D519" s="967"/>
      <c r="E519" s="968"/>
      <c r="F519" s="968"/>
      <c r="G519" s="968"/>
      <c r="H519" s="968"/>
      <c r="I519" s="968"/>
      <c r="J519" s="968"/>
      <c r="K519" s="967"/>
      <c r="L519" s="967"/>
      <c r="M519" s="967"/>
      <c r="N519" s="967"/>
      <c r="O519" s="1007"/>
      <c r="P519" s="1007"/>
      <c r="Q519" s="1008"/>
    </row>
    <row r="520" spans="1:17" hidden="1">
      <c r="A520" s="966"/>
      <c r="B520" s="967"/>
      <c r="C520" s="967">
        <v>475</v>
      </c>
      <c r="D520" s="967"/>
      <c r="E520" s="968"/>
      <c r="F520" s="968"/>
      <c r="G520" s="968"/>
      <c r="H520" s="968"/>
      <c r="I520" s="968"/>
      <c r="J520" s="968"/>
      <c r="K520" s="967"/>
      <c r="L520" s="967"/>
      <c r="M520" s="967"/>
      <c r="N520" s="967"/>
      <c r="O520" s="1007"/>
      <c r="P520" s="1007"/>
      <c r="Q520" s="1008"/>
    </row>
    <row r="521" spans="1:17" hidden="1">
      <c r="A521" s="966"/>
      <c r="B521" s="967"/>
      <c r="C521" s="967">
        <v>476</v>
      </c>
      <c r="D521" s="967"/>
      <c r="E521" s="968"/>
      <c r="F521" s="968"/>
      <c r="G521" s="968"/>
      <c r="H521" s="968"/>
      <c r="I521" s="968"/>
      <c r="J521" s="968"/>
      <c r="K521" s="967"/>
      <c r="L521" s="967"/>
      <c r="M521" s="967"/>
      <c r="N521" s="967"/>
      <c r="O521" s="1007"/>
      <c r="P521" s="1007"/>
      <c r="Q521" s="1008"/>
    </row>
    <row r="522" spans="1:17" hidden="1">
      <c r="A522" s="966"/>
      <c r="B522" s="967"/>
      <c r="C522" s="967">
        <v>477</v>
      </c>
      <c r="D522" s="967"/>
      <c r="E522" s="968"/>
      <c r="F522" s="968"/>
      <c r="G522" s="968"/>
      <c r="H522" s="968"/>
      <c r="I522" s="968"/>
      <c r="J522" s="968"/>
      <c r="K522" s="967"/>
      <c r="L522" s="967"/>
      <c r="M522" s="967"/>
      <c r="N522" s="967"/>
      <c r="O522" s="1007"/>
      <c r="P522" s="1007"/>
      <c r="Q522" s="1008"/>
    </row>
    <row r="523" spans="1:17" hidden="1">
      <c r="A523" s="966"/>
      <c r="B523" s="967"/>
      <c r="C523" s="967">
        <v>478</v>
      </c>
      <c r="D523" s="967"/>
      <c r="E523" s="968"/>
      <c r="F523" s="968"/>
      <c r="G523" s="968"/>
      <c r="H523" s="968"/>
      <c r="I523" s="968"/>
      <c r="J523" s="968"/>
      <c r="K523" s="967"/>
      <c r="L523" s="967"/>
      <c r="M523" s="967"/>
      <c r="N523" s="967"/>
      <c r="O523" s="1007"/>
      <c r="P523" s="1007"/>
      <c r="Q523" s="1008"/>
    </row>
    <row r="524" spans="1:17" hidden="1">
      <c r="A524" s="966"/>
      <c r="B524" s="967"/>
      <c r="C524" s="967">
        <v>479</v>
      </c>
      <c r="D524" s="967"/>
      <c r="E524" s="968"/>
      <c r="F524" s="968"/>
      <c r="G524" s="968"/>
      <c r="H524" s="968"/>
      <c r="I524" s="968"/>
      <c r="J524" s="968"/>
      <c r="K524" s="967"/>
      <c r="L524" s="967"/>
      <c r="M524" s="967"/>
      <c r="N524" s="967"/>
      <c r="O524" s="1007"/>
      <c r="P524" s="1007"/>
      <c r="Q524" s="1008"/>
    </row>
    <row r="525" spans="1:17" hidden="1">
      <c r="A525" s="966"/>
      <c r="B525" s="967"/>
      <c r="C525" s="967">
        <v>480</v>
      </c>
      <c r="D525" s="967"/>
      <c r="E525" s="968"/>
      <c r="F525" s="968"/>
      <c r="G525" s="968"/>
      <c r="H525" s="968"/>
      <c r="I525" s="968"/>
      <c r="J525" s="968"/>
      <c r="K525" s="967"/>
      <c r="L525" s="967"/>
      <c r="M525" s="967"/>
      <c r="N525" s="967"/>
      <c r="O525" s="1007"/>
      <c r="P525" s="1007"/>
      <c r="Q525" s="1008"/>
    </row>
    <row r="526" spans="1:17" hidden="1">
      <c r="A526" s="966"/>
      <c r="B526" s="967"/>
      <c r="C526" s="967">
        <v>481</v>
      </c>
      <c r="D526" s="967"/>
      <c r="E526" s="968"/>
      <c r="F526" s="968"/>
      <c r="G526" s="968"/>
      <c r="H526" s="968"/>
      <c r="I526" s="968"/>
      <c r="J526" s="968"/>
      <c r="K526" s="967"/>
      <c r="L526" s="967"/>
      <c r="M526" s="967"/>
      <c r="N526" s="967"/>
      <c r="O526" s="1007"/>
      <c r="P526" s="1007"/>
      <c r="Q526" s="1008"/>
    </row>
    <row r="527" spans="1:17" hidden="1">
      <c r="A527" s="966"/>
      <c r="B527" s="967"/>
      <c r="C527" s="967">
        <v>482</v>
      </c>
      <c r="D527" s="967"/>
      <c r="E527" s="968"/>
      <c r="F527" s="968"/>
      <c r="G527" s="968"/>
      <c r="H527" s="968"/>
      <c r="I527" s="968"/>
      <c r="J527" s="968"/>
      <c r="K527" s="967"/>
      <c r="L527" s="967"/>
      <c r="M527" s="967"/>
      <c r="N527" s="967"/>
      <c r="O527" s="1007"/>
      <c r="P527" s="1007"/>
      <c r="Q527" s="1008"/>
    </row>
    <row r="528" spans="1:17" hidden="1">
      <c r="A528" s="966"/>
      <c r="B528" s="967"/>
      <c r="C528" s="967">
        <v>483</v>
      </c>
      <c r="D528" s="967"/>
      <c r="E528" s="968"/>
      <c r="F528" s="968"/>
      <c r="G528" s="968"/>
      <c r="H528" s="968"/>
      <c r="I528" s="968"/>
      <c r="J528" s="968"/>
      <c r="K528" s="967"/>
      <c r="L528" s="967"/>
      <c r="M528" s="967"/>
      <c r="N528" s="967"/>
      <c r="O528" s="1007"/>
      <c r="P528" s="1007"/>
      <c r="Q528" s="1008"/>
    </row>
    <row r="529" spans="1:17" hidden="1">
      <c r="A529" s="966"/>
      <c r="B529" s="967"/>
      <c r="C529" s="967">
        <v>484</v>
      </c>
      <c r="D529" s="967"/>
      <c r="E529" s="968"/>
      <c r="F529" s="968"/>
      <c r="G529" s="968"/>
      <c r="H529" s="968"/>
      <c r="I529" s="968"/>
      <c r="J529" s="968"/>
      <c r="K529" s="967"/>
      <c r="L529" s="967"/>
      <c r="M529" s="967"/>
      <c r="N529" s="967"/>
      <c r="O529" s="1007"/>
      <c r="P529" s="1007"/>
      <c r="Q529" s="1008"/>
    </row>
    <row r="530" spans="1:17" hidden="1">
      <c r="A530" s="966"/>
      <c r="B530" s="967"/>
      <c r="C530" s="967">
        <v>485</v>
      </c>
      <c r="D530" s="967"/>
      <c r="E530" s="968"/>
      <c r="F530" s="968"/>
      <c r="G530" s="968"/>
      <c r="H530" s="968"/>
      <c r="I530" s="968"/>
      <c r="J530" s="968"/>
      <c r="K530" s="967"/>
      <c r="L530" s="967"/>
      <c r="M530" s="967"/>
      <c r="N530" s="967"/>
      <c r="O530" s="1007"/>
      <c r="P530" s="1007"/>
      <c r="Q530" s="1008"/>
    </row>
    <row r="531" spans="1:17" hidden="1">
      <c r="A531" s="966"/>
      <c r="B531" s="967"/>
      <c r="C531" s="967">
        <v>486</v>
      </c>
      <c r="D531" s="967"/>
      <c r="E531" s="968"/>
      <c r="F531" s="968"/>
      <c r="G531" s="968"/>
      <c r="H531" s="968"/>
      <c r="I531" s="968"/>
      <c r="J531" s="968"/>
      <c r="K531" s="967"/>
      <c r="L531" s="967"/>
      <c r="M531" s="967"/>
      <c r="N531" s="967"/>
      <c r="O531" s="1007"/>
      <c r="P531" s="1007"/>
      <c r="Q531" s="1008"/>
    </row>
    <row r="532" spans="1:17" hidden="1">
      <c r="A532" s="966"/>
      <c r="B532" s="967"/>
      <c r="C532" s="967">
        <v>487</v>
      </c>
      <c r="D532" s="967"/>
      <c r="E532" s="968"/>
      <c r="F532" s="968"/>
      <c r="G532" s="968"/>
      <c r="H532" s="968"/>
      <c r="I532" s="968"/>
      <c r="J532" s="968"/>
      <c r="K532" s="967"/>
      <c r="L532" s="967"/>
      <c r="M532" s="967"/>
      <c r="N532" s="967"/>
      <c r="O532" s="1007"/>
      <c r="P532" s="1007"/>
      <c r="Q532" s="1008"/>
    </row>
    <row r="533" spans="1:17" hidden="1">
      <c r="A533" s="966"/>
      <c r="B533" s="967"/>
      <c r="C533" s="967">
        <v>488</v>
      </c>
      <c r="D533" s="967"/>
      <c r="E533" s="968"/>
      <c r="F533" s="968"/>
      <c r="G533" s="968"/>
      <c r="H533" s="968"/>
      <c r="I533" s="968"/>
      <c r="J533" s="968"/>
      <c r="K533" s="967"/>
      <c r="L533" s="967"/>
      <c r="M533" s="967"/>
      <c r="N533" s="967"/>
      <c r="O533" s="1007"/>
      <c r="P533" s="1007"/>
      <c r="Q533" s="1008"/>
    </row>
    <row r="534" spans="1:17" hidden="1">
      <c r="A534" s="966"/>
      <c r="B534" s="967"/>
      <c r="C534" s="967">
        <v>489</v>
      </c>
      <c r="D534" s="967"/>
      <c r="E534" s="968"/>
      <c r="F534" s="968"/>
      <c r="G534" s="968"/>
      <c r="H534" s="968"/>
      <c r="I534" s="968"/>
      <c r="J534" s="968"/>
      <c r="K534" s="967"/>
      <c r="L534" s="967"/>
      <c r="M534" s="967"/>
      <c r="N534" s="967"/>
      <c r="O534" s="1007"/>
      <c r="P534" s="1007"/>
      <c r="Q534" s="1008"/>
    </row>
    <row r="535" spans="1:17" hidden="1">
      <c r="A535" s="966"/>
      <c r="B535" s="967"/>
      <c r="C535" s="967">
        <v>490</v>
      </c>
      <c r="D535" s="967"/>
      <c r="E535" s="968"/>
      <c r="F535" s="968"/>
      <c r="G535" s="968"/>
      <c r="H535" s="968"/>
      <c r="I535" s="968"/>
      <c r="J535" s="968"/>
      <c r="K535" s="967"/>
      <c r="L535" s="967"/>
      <c r="M535" s="967"/>
      <c r="N535" s="967"/>
      <c r="O535" s="1007"/>
      <c r="P535" s="1007"/>
      <c r="Q535" s="1008"/>
    </row>
    <row r="536" spans="1:17" hidden="1">
      <c r="A536" s="966"/>
      <c r="B536" s="967"/>
      <c r="C536" s="967">
        <v>491</v>
      </c>
      <c r="D536" s="967"/>
      <c r="E536" s="968"/>
      <c r="F536" s="968"/>
      <c r="G536" s="968"/>
      <c r="H536" s="968"/>
      <c r="I536" s="968"/>
      <c r="J536" s="968"/>
      <c r="K536" s="967"/>
      <c r="L536" s="967"/>
      <c r="M536" s="967"/>
      <c r="N536" s="967"/>
      <c r="O536" s="1007"/>
      <c r="P536" s="1007"/>
      <c r="Q536" s="1008"/>
    </row>
    <row r="537" spans="1:17" hidden="1">
      <c r="A537" s="966"/>
      <c r="B537" s="967"/>
      <c r="C537" s="967">
        <v>492</v>
      </c>
      <c r="D537" s="967"/>
      <c r="E537" s="968"/>
      <c r="F537" s="968"/>
      <c r="G537" s="968"/>
      <c r="H537" s="968"/>
      <c r="I537" s="968"/>
      <c r="J537" s="968"/>
      <c r="K537" s="967"/>
      <c r="L537" s="967"/>
      <c r="M537" s="967"/>
      <c r="N537" s="967"/>
      <c r="O537" s="1007"/>
      <c r="P537" s="1007"/>
      <c r="Q537" s="1008"/>
    </row>
    <row r="538" spans="1:17" hidden="1">
      <c r="A538" s="966"/>
      <c r="B538" s="967"/>
      <c r="C538" s="967">
        <v>493</v>
      </c>
      <c r="D538" s="967"/>
      <c r="E538" s="968"/>
      <c r="F538" s="968"/>
      <c r="G538" s="968"/>
      <c r="H538" s="968"/>
      <c r="I538" s="968"/>
      <c r="J538" s="968"/>
      <c r="K538" s="967"/>
      <c r="L538" s="967"/>
      <c r="M538" s="967"/>
      <c r="N538" s="967"/>
      <c r="O538" s="1007"/>
      <c r="P538" s="1007"/>
      <c r="Q538" s="1008"/>
    </row>
    <row r="539" spans="1:17" hidden="1">
      <c r="A539" s="966"/>
      <c r="B539" s="967"/>
      <c r="C539" s="967">
        <v>494</v>
      </c>
      <c r="D539" s="967"/>
      <c r="E539" s="968"/>
      <c r="F539" s="968"/>
      <c r="G539" s="968"/>
      <c r="H539" s="968"/>
      <c r="I539" s="968"/>
      <c r="J539" s="968"/>
      <c r="K539" s="967"/>
      <c r="L539" s="967"/>
      <c r="M539" s="967"/>
      <c r="N539" s="967"/>
      <c r="O539" s="1007"/>
      <c r="P539" s="1007"/>
      <c r="Q539" s="1008"/>
    </row>
    <row r="540" spans="1:17" hidden="1">
      <c r="A540" s="966"/>
      <c r="B540" s="967"/>
      <c r="C540" s="967">
        <v>495</v>
      </c>
      <c r="D540" s="967"/>
      <c r="E540" s="968"/>
      <c r="F540" s="968"/>
      <c r="G540" s="968"/>
      <c r="H540" s="968"/>
      <c r="I540" s="968"/>
      <c r="J540" s="968"/>
      <c r="K540" s="967"/>
      <c r="L540" s="967"/>
      <c r="M540" s="967"/>
      <c r="N540" s="967"/>
      <c r="O540" s="1007"/>
      <c r="P540" s="1007"/>
      <c r="Q540" s="1008"/>
    </row>
    <row r="541" spans="1:17" hidden="1">
      <c r="A541" s="966"/>
      <c r="B541" s="967"/>
      <c r="C541" s="967">
        <v>496</v>
      </c>
      <c r="D541" s="967"/>
      <c r="E541" s="968"/>
      <c r="F541" s="968"/>
      <c r="G541" s="968"/>
      <c r="H541" s="968"/>
      <c r="I541" s="968"/>
      <c r="J541" s="968"/>
      <c r="K541" s="967"/>
      <c r="L541" s="967"/>
      <c r="M541" s="967"/>
      <c r="N541" s="967"/>
      <c r="O541" s="1007"/>
      <c r="P541" s="1007"/>
      <c r="Q541" s="1008"/>
    </row>
    <row r="542" spans="1:17" hidden="1">
      <c r="A542" s="966"/>
      <c r="B542" s="967"/>
      <c r="C542" s="967">
        <v>497</v>
      </c>
      <c r="D542" s="967"/>
      <c r="E542" s="968"/>
      <c r="F542" s="968"/>
      <c r="G542" s="968"/>
      <c r="H542" s="968"/>
      <c r="I542" s="968"/>
      <c r="J542" s="968"/>
      <c r="K542" s="967"/>
      <c r="L542" s="967"/>
      <c r="M542" s="967"/>
      <c r="N542" s="967"/>
      <c r="O542" s="1007"/>
      <c r="P542" s="1007"/>
      <c r="Q542" s="1008"/>
    </row>
    <row r="543" spans="1:17" hidden="1">
      <c r="A543" s="966"/>
      <c r="B543" s="967"/>
      <c r="C543" s="967">
        <v>498</v>
      </c>
      <c r="D543" s="967"/>
      <c r="E543" s="968"/>
      <c r="F543" s="968"/>
      <c r="G543" s="968"/>
      <c r="H543" s="968"/>
      <c r="I543" s="968"/>
      <c r="J543" s="968"/>
      <c r="K543" s="967"/>
      <c r="L543" s="967"/>
      <c r="M543" s="967"/>
      <c r="N543" s="967"/>
      <c r="O543" s="1007"/>
      <c r="P543" s="1007"/>
      <c r="Q543" s="1008"/>
    </row>
    <row r="544" spans="1:17" hidden="1">
      <c r="A544" s="966"/>
      <c r="B544" s="967"/>
      <c r="C544" s="967">
        <v>499</v>
      </c>
      <c r="D544" s="967"/>
      <c r="E544" s="968"/>
      <c r="F544" s="968"/>
      <c r="G544" s="968"/>
      <c r="H544" s="968"/>
      <c r="I544" s="968"/>
      <c r="J544" s="968"/>
      <c r="K544" s="967"/>
      <c r="L544" s="967"/>
      <c r="M544" s="967"/>
      <c r="N544" s="967"/>
      <c r="O544" s="1007"/>
      <c r="P544" s="1007"/>
      <c r="Q544" s="1008"/>
    </row>
    <row r="545" spans="1:17" hidden="1">
      <c r="A545" s="966"/>
      <c r="B545" s="967"/>
      <c r="C545" s="967">
        <v>500</v>
      </c>
      <c r="D545" s="967"/>
      <c r="E545" s="968"/>
      <c r="F545" s="968"/>
      <c r="G545" s="968"/>
      <c r="H545" s="968"/>
      <c r="I545" s="968"/>
      <c r="J545" s="968"/>
      <c r="K545" s="967"/>
      <c r="L545" s="967"/>
      <c r="M545" s="967"/>
      <c r="N545" s="967"/>
      <c r="O545" s="1007"/>
      <c r="P545" s="1007"/>
      <c r="Q545" s="1008"/>
    </row>
    <row r="546" spans="1:17" hidden="1">
      <c r="A546" s="966"/>
      <c r="B546" s="967"/>
      <c r="C546" s="967">
        <v>501</v>
      </c>
      <c r="D546" s="967"/>
      <c r="E546" s="968"/>
      <c r="F546" s="968"/>
      <c r="G546" s="968"/>
      <c r="H546" s="968"/>
      <c r="I546" s="968"/>
      <c r="J546" s="968"/>
      <c r="K546" s="967"/>
      <c r="L546" s="967"/>
      <c r="M546" s="967"/>
      <c r="N546" s="967"/>
      <c r="O546" s="1007"/>
      <c r="P546" s="1007"/>
      <c r="Q546" s="1008"/>
    </row>
    <row r="547" spans="1:17" hidden="1">
      <c r="A547" s="966"/>
      <c r="B547" s="967"/>
      <c r="C547" s="967">
        <v>502</v>
      </c>
      <c r="D547" s="967"/>
      <c r="E547" s="968"/>
      <c r="F547" s="968"/>
      <c r="G547" s="968"/>
      <c r="H547" s="968"/>
      <c r="I547" s="968"/>
      <c r="J547" s="968"/>
      <c r="K547" s="967"/>
      <c r="L547" s="967"/>
      <c r="M547" s="967"/>
      <c r="N547" s="967"/>
      <c r="O547" s="1007"/>
      <c r="P547" s="1007"/>
      <c r="Q547" s="1008"/>
    </row>
    <row r="548" spans="1:17" hidden="1">
      <c r="A548" s="966"/>
      <c r="B548" s="967"/>
      <c r="C548" s="967">
        <v>503</v>
      </c>
      <c r="D548" s="967"/>
      <c r="E548" s="968"/>
      <c r="F548" s="968"/>
      <c r="G548" s="968"/>
      <c r="H548" s="968"/>
      <c r="I548" s="968"/>
      <c r="J548" s="968"/>
      <c r="K548" s="967"/>
      <c r="L548" s="967"/>
      <c r="M548" s="967"/>
      <c r="N548" s="967"/>
      <c r="O548" s="1007"/>
      <c r="P548" s="1007"/>
      <c r="Q548" s="1008"/>
    </row>
    <row r="549" spans="1:17" hidden="1">
      <c r="A549" s="966"/>
      <c r="B549" s="967"/>
      <c r="C549" s="967">
        <v>504</v>
      </c>
      <c r="D549" s="967"/>
      <c r="E549" s="968"/>
      <c r="F549" s="968"/>
      <c r="G549" s="968"/>
      <c r="H549" s="968"/>
      <c r="I549" s="968"/>
      <c r="J549" s="968"/>
      <c r="K549" s="967"/>
      <c r="L549" s="967"/>
      <c r="M549" s="967"/>
      <c r="N549" s="967"/>
      <c r="O549" s="1007"/>
      <c r="P549" s="1007"/>
      <c r="Q549" s="1008"/>
    </row>
    <row r="550" spans="1:17" hidden="1">
      <c r="A550" s="966"/>
      <c r="B550" s="967"/>
      <c r="C550" s="967">
        <v>505</v>
      </c>
      <c r="D550" s="967"/>
      <c r="E550" s="968"/>
      <c r="F550" s="968"/>
      <c r="G550" s="968"/>
      <c r="H550" s="968"/>
      <c r="I550" s="968"/>
      <c r="J550" s="968"/>
      <c r="K550" s="967"/>
      <c r="L550" s="967"/>
      <c r="M550" s="967"/>
      <c r="N550" s="967"/>
      <c r="O550" s="1007"/>
      <c r="P550" s="1007"/>
      <c r="Q550" s="1008"/>
    </row>
    <row r="551" spans="1:17" hidden="1">
      <c r="A551" s="966"/>
      <c r="B551" s="967"/>
      <c r="C551" s="967">
        <v>506</v>
      </c>
      <c r="D551" s="967"/>
      <c r="E551" s="968"/>
      <c r="F551" s="968"/>
      <c r="G551" s="968"/>
      <c r="H551" s="968"/>
      <c r="I551" s="968"/>
      <c r="J551" s="968"/>
      <c r="K551" s="967"/>
      <c r="L551" s="967"/>
      <c r="M551" s="967"/>
      <c r="N551" s="967"/>
      <c r="O551" s="1007"/>
      <c r="P551" s="1007"/>
      <c r="Q551" s="1008"/>
    </row>
    <row r="552" spans="1:17" hidden="1">
      <c r="A552" s="966"/>
      <c r="B552" s="967"/>
      <c r="C552" s="967">
        <v>507</v>
      </c>
      <c r="D552" s="967"/>
      <c r="E552" s="968"/>
      <c r="F552" s="968"/>
      <c r="G552" s="968"/>
      <c r="H552" s="968"/>
      <c r="I552" s="968"/>
      <c r="J552" s="968"/>
      <c r="K552" s="967"/>
      <c r="L552" s="967"/>
      <c r="M552" s="967"/>
      <c r="N552" s="967"/>
      <c r="O552" s="1007"/>
      <c r="P552" s="1007"/>
      <c r="Q552" s="1008"/>
    </row>
    <row r="553" spans="1:17" hidden="1">
      <c r="A553" s="966"/>
      <c r="B553" s="967"/>
      <c r="C553" s="967">
        <v>508</v>
      </c>
      <c r="D553" s="967"/>
      <c r="E553" s="968"/>
      <c r="F553" s="968"/>
      <c r="G553" s="968"/>
      <c r="H553" s="968"/>
      <c r="I553" s="968"/>
      <c r="J553" s="968"/>
      <c r="K553" s="967"/>
      <c r="L553" s="967"/>
      <c r="M553" s="967"/>
      <c r="N553" s="967"/>
      <c r="O553" s="1007"/>
      <c r="P553" s="1007"/>
      <c r="Q553" s="1008"/>
    </row>
    <row r="554" spans="1:17" hidden="1">
      <c r="A554" s="966"/>
      <c r="B554" s="967"/>
      <c r="C554" s="967">
        <v>509</v>
      </c>
      <c r="D554" s="967"/>
      <c r="E554" s="968"/>
      <c r="F554" s="968"/>
      <c r="G554" s="968"/>
      <c r="H554" s="968"/>
      <c r="I554" s="968"/>
      <c r="J554" s="968"/>
      <c r="K554" s="967"/>
      <c r="L554" s="967"/>
      <c r="M554" s="967"/>
      <c r="N554" s="967"/>
      <c r="O554" s="1007"/>
      <c r="P554" s="1007"/>
      <c r="Q554" s="1008"/>
    </row>
    <row r="555" spans="1:17" hidden="1">
      <c r="A555" s="966"/>
      <c r="B555" s="967"/>
      <c r="C555" s="967">
        <v>510</v>
      </c>
      <c r="D555" s="967"/>
      <c r="E555" s="968"/>
      <c r="F555" s="968"/>
      <c r="G555" s="968"/>
      <c r="H555" s="968"/>
      <c r="I555" s="968"/>
      <c r="J555" s="968"/>
      <c r="K555" s="967"/>
      <c r="L555" s="967"/>
      <c r="M555" s="967"/>
      <c r="N555" s="967"/>
      <c r="O555" s="1007"/>
      <c r="P555" s="1007"/>
      <c r="Q555" s="1008"/>
    </row>
    <row r="556" spans="1:17" hidden="1">
      <c r="A556" s="966"/>
      <c r="B556" s="967"/>
      <c r="C556" s="967">
        <v>511</v>
      </c>
      <c r="D556" s="967"/>
      <c r="E556" s="968"/>
      <c r="F556" s="968"/>
      <c r="G556" s="968"/>
      <c r="H556" s="968"/>
      <c r="I556" s="968"/>
      <c r="J556" s="968"/>
      <c r="K556" s="967"/>
      <c r="L556" s="967"/>
      <c r="M556" s="967"/>
      <c r="N556" s="967"/>
      <c r="O556" s="1007"/>
      <c r="P556" s="1007"/>
      <c r="Q556" s="1008"/>
    </row>
    <row r="557" spans="1:17" hidden="1">
      <c r="A557" s="966"/>
      <c r="B557" s="967"/>
      <c r="C557" s="967">
        <v>512</v>
      </c>
      <c r="D557" s="967"/>
      <c r="E557" s="968"/>
      <c r="F557" s="968"/>
      <c r="G557" s="968"/>
      <c r="H557" s="968"/>
      <c r="I557" s="968"/>
      <c r="J557" s="968"/>
      <c r="K557" s="967"/>
      <c r="L557" s="967"/>
      <c r="M557" s="967"/>
      <c r="N557" s="967"/>
      <c r="O557" s="1007"/>
      <c r="P557" s="1007"/>
      <c r="Q557" s="1008"/>
    </row>
    <row r="558" spans="1:17" hidden="1">
      <c r="A558" s="966"/>
      <c r="B558" s="967"/>
      <c r="C558" s="967">
        <v>513</v>
      </c>
      <c r="D558" s="967"/>
      <c r="E558" s="968"/>
      <c r="F558" s="968"/>
      <c r="G558" s="968"/>
      <c r="H558" s="968"/>
      <c r="I558" s="968"/>
      <c r="J558" s="968"/>
      <c r="K558" s="967"/>
      <c r="L558" s="967"/>
      <c r="M558" s="967"/>
      <c r="N558" s="967"/>
      <c r="O558" s="1007"/>
      <c r="P558" s="1007"/>
      <c r="Q558" s="1008"/>
    </row>
    <row r="559" spans="1:17" hidden="1">
      <c r="A559" s="966"/>
      <c r="B559" s="967"/>
      <c r="C559" s="967">
        <v>514</v>
      </c>
      <c r="D559" s="967"/>
      <c r="E559" s="968"/>
      <c r="F559" s="968"/>
      <c r="G559" s="968"/>
      <c r="H559" s="968"/>
      <c r="I559" s="968"/>
      <c r="J559" s="968"/>
      <c r="K559" s="967"/>
      <c r="L559" s="967"/>
      <c r="M559" s="967"/>
      <c r="N559" s="967"/>
      <c r="O559" s="1007"/>
      <c r="P559" s="1007"/>
      <c r="Q559" s="1008"/>
    </row>
    <row r="560" spans="1:17" hidden="1">
      <c r="A560" s="966"/>
      <c r="B560" s="967"/>
      <c r="C560" s="967">
        <v>515</v>
      </c>
      <c r="D560" s="967"/>
      <c r="E560" s="968"/>
      <c r="F560" s="968"/>
      <c r="G560" s="968"/>
      <c r="H560" s="968"/>
      <c r="I560" s="968"/>
      <c r="J560" s="968"/>
      <c r="K560" s="967"/>
      <c r="L560" s="967"/>
      <c r="M560" s="967"/>
      <c r="N560" s="967"/>
      <c r="O560" s="1007"/>
      <c r="P560" s="1007"/>
      <c r="Q560" s="1008"/>
    </row>
    <row r="561" spans="1:17" hidden="1">
      <c r="A561" s="966"/>
      <c r="B561" s="967"/>
      <c r="C561" s="967">
        <v>516</v>
      </c>
      <c r="D561" s="967"/>
      <c r="E561" s="968"/>
      <c r="F561" s="968"/>
      <c r="G561" s="968"/>
      <c r="H561" s="968"/>
      <c r="I561" s="968"/>
      <c r="J561" s="968"/>
      <c r="K561" s="967"/>
      <c r="L561" s="967"/>
      <c r="M561" s="967"/>
      <c r="N561" s="967"/>
      <c r="O561" s="1007"/>
      <c r="P561" s="1007"/>
      <c r="Q561" s="1008"/>
    </row>
    <row r="562" spans="1:17" hidden="1">
      <c r="A562" s="966"/>
      <c r="B562" s="967"/>
      <c r="C562" s="967">
        <v>517</v>
      </c>
      <c r="D562" s="967"/>
      <c r="E562" s="968"/>
      <c r="F562" s="968"/>
      <c r="G562" s="968"/>
      <c r="H562" s="968"/>
      <c r="I562" s="968"/>
      <c r="J562" s="968"/>
      <c r="K562" s="967"/>
      <c r="L562" s="967"/>
      <c r="M562" s="967"/>
      <c r="N562" s="967"/>
      <c r="O562" s="1007"/>
      <c r="P562" s="1007"/>
      <c r="Q562" s="1008"/>
    </row>
    <row r="563" spans="1:17" hidden="1">
      <c r="A563" s="966"/>
      <c r="B563" s="967"/>
      <c r="C563" s="967">
        <v>518</v>
      </c>
      <c r="D563" s="967"/>
      <c r="E563" s="968"/>
      <c r="F563" s="968"/>
      <c r="G563" s="968"/>
      <c r="H563" s="968"/>
      <c r="I563" s="968"/>
      <c r="J563" s="968"/>
      <c r="K563" s="967"/>
      <c r="L563" s="967"/>
      <c r="M563" s="967"/>
      <c r="N563" s="967"/>
      <c r="O563" s="1007"/>
      <c r="P563" s="1007"/>
      <c r="Q563" s="1008"/>
    </row>
    <row r="564" spans="1:17" hidden="1">
      <c r="A564" s="966"/>
      <c r="B564" s="967"/>
      <c r="C564" s="967">
        <v>519</v>
      </c>
      <c r="D564" s="967"/>
      <c r="E564" s="968"/>
      <c r="F564" s="968"/>
      <c r="G564" s="968"/>
      <c r="H564" s="968"/>
      <c r="I564" s="968"/>
      <c r="J564" s="968"/>
      <c r="K564" s="967"/>
      <c r="L564" s="967"/>
      <c r="M564" s="967"/>
      <c r="N564" s="967"/>
      <c r="O564" s="1007"/>
      <c r="P564" s="1007"/>
      <c r="Q564" s="1008"/>
    </row>
    <row r="565" spans="1:17" hidden="1">
      <c r="A565" s="966"/>
      <c r="B565" s="967"/>
      <c r="C565" s="967">
        <v>520</v>
      </c>
      <c r="D565" s="967"/>
      <c r="E565" s="968"/>
      <c r="F565" s="968"/>
      <c r="G565" s="968"/>
      <c r="H565" s="968"/>
      <c r="I565" s="968"/>
      <c r="J565" s="968"/>
      <c r="K565" s="967"/>
      <c r="L565" s="967"/>
      <c r="M565" s="967"/>
      <c r="N565" s="967"/>
      <c r="O565" s="1007"/>
      <c r="P565" s="1007"/>
      <c r="Q565" s="1008"/>
    </row>
    <row r="566" spans="1:17" hidden="1">
      <c r="A566" s="966"/>
      <c r="B566" s="967"/>
      <c r="C566" s="967">
        <v>521</v>
      </c>
      <c r="D566" s="967"/>
      <c r="E566" s="968"/>
      <c r="F566" s="968"/>
      <c r="G566" s="968"/>
      <c r="H566" s="968"/>
      <c r="I566" s="968"/>
      <c r="J566" s="968"/>
      <c r="K566" s="967"/>
      <c r="L566" s="967"/>
      <c r="M566" s="967"/>
      <c r="N566" s="967"/>
      <c r="O566" s="1007"/>
      <c r="P566" s="1007"/>
      <c r="Q566" s="1008"/>
    </row>
    <row r="567" spans="1:17" hidden="1">
      <c r="A567" s="966"/>
      <c r="B567" s="967"/>
      <c r="C567" s="967">
        <v>522</v>
      </c>
      <c r="D567" s="967"/>
      <c r="E567" s="968"/>
      <c r="F567" s="968"/>
      <c r="G567" s="968"/>
      <c r="H567" s="968"/>
      <c r="I567" s="968"/>
      <c r="J567" s="968"/>
      <c r="K567" s="967"/>
      <c r="L567" s="967"/>
      <c r="M567" s="967"/>
      <c r="N567" s="967"/>
      <c r="O567" s="1007"/>
      <c r="P567" s="1007"/>
      <c r="Q567" s="1008"/>
    </row>
    <row r="568" spans="1:17" hidden="1">
      <c r="A568" s="966"/>
      <c r="B568" s="967"/>
      <c r="C568" s="967">
        <v>523</v>
      </c>
      <c r="D568" s="967"/>
      <c r="E568" s="968"/>
      <c r="F568" s="968"/>
      <c r="G568" s="968"/>
      <c r="H568" s="968"/>
      <c r="I568" s="968"/>
      <c r="J568" s="968"/>
      <c r="K568" s="967"/>
      <c r="L568" s="967"/>
      <c r="M568" s="967"/>
      <c r="N568" s="967"/>
      <c r="O568" s="1007"/>
      <c r="P568" s="1007"/>
      <c r="Q568" s="1008"/>
    </row>
    <row r="569" spans="1:17" hidden="1">
      <c r="A569" s="966"/>
      <c r="B569" s="967"/>
      <c r="C569" s="967">
        <v>524</v>
      </c>
      <c r="D569" s="967"/>
      <c r="E569" s="968"/>
      <c r="F569" s="968"/>
      <c r="G569" s="968"/>
      <c r="H569" s="968"/>
      <c r="I569" s="968"/>
      <c r="J569" s="968"/>
      <c r="K569" s="967"/>
      <c r="L569" s="967"/>
      <c r="M569" s="967"/>
      <c r="N569" s="967"/>
      <c r="O569" s="1007"/>
      <c r="P569" s="1007"/>
      <c r="Q569" s="1008"/>
    </row>
    <row r="570" spans="1:17" hidden="1">
      <c r="A570" s="966"/>
      <c r="B570" s="967"/>
      <c r="C570" s="967">
        <v>525</v>
      </c>
      <c r="D570" s="967"/>
      <c r="E570" s="968"/>
      <c r="F570" s="968"/>
      <c r="G570" s="968"/>
      <c r="H570" s="968"/>
      <c r="I570" s="968"/>
      <c r="J570" s="968"/>
      <c r="K570" s="967"/>
      <c r="L570" s="967"/>
      <c r="M570" s="967"/>
      <c r="N570" s="967"/>
      <c r="O570" s="1007"/>
      <c r="P570" s="1007"/>
      <c r="Q570" s="1008"/>
    </row>
    <row r="571" spans="1:17" hidden="1">
      <c r="A571" s="966"/>
      <c r="B571" s="967"/>
      <c r="C571" s="967">
        <v>526</v>
      </c>
      <c r="D571" s="967"/>
      <c r="E571" s="968"/>
      <c r="F571" s="968"/>
      <c r="G571" s="968"/>
      <c r="H571" s="968"/>
      <c r="I571" s="968"/>
      <c r="J571" s="968"/>
      <c r="K571" s="967"/>
      <c r="L571" s="967"/>
      <c r="M571" s="967"/>
      <c r="N571" s="967"/>
      <c r="O571" s="1007"/>
      <c r="P571" s="1007"/>
      <c r="Q571" s="1008"/>
    </row>
    <row r="572" spans="1:17" hidden="1">
      <c r="A572" s="966"/>
      <c r="B572" s="967"/>
      <c r="C572" s="967">
        <v>527</v>
      </c>
      <c r="D572" s="967"/>
      <c r="E572" s="968"/>
      <c r="F572" s="968"/>
      <c r="G572" s="968"/>
      <c r="H572" s="968"/>
      <c r="I572" s="968"/>
      <c r="J572" s="968"/>
      <c r="K572" s="967"/>
      <c r="L572" s="967"/>
      <c r="M572" s="967"/>
      <c r="N572" s="967"/>
      <c r="O572" s="1007"/>
      <c r="P572" s="1007"/>
      <c r="Q572" s="1008"/>
    </row>
    <row r="573" spans="1:17" hidden="1">
      <c r="A573" s="966"/>
      <c r="B573" s="967"/>
      <c r="C573" s="967">
        <v>528</v>
      </c>
      <c r="D573" s="967"/>
      <c r="E573" s="968"/>
      <c r="F573" s="968"/>
      <c r="G573" s="968"/>
      <c r="H573" s="968"/>
      <c r="I573" s="968"/>
      <c r="J573" s="968"/>
      <c r="K573" s="967"/>
      <c r="L573" s="967"/>
      <c r="M573" s="967"/>
      <c r="N573" s="967"/>
      <c r="O573" s="1007"/>
      <c r="P573" s="1007"/>
      <c r="Q573" s="1008"/>
    </row>
    <row r="574" spans="1:17" hidden="1">
      <c r="A574" s="966"/>
      <c r="B574" s="967"/>
      <c r="C574" s="967">
        <v>529</v>
      </c>
      <c r="D574" s="967"/>
      <c r="E574" s="968"/>
      <c r="F574" s="968"/>
      <c r="G574" s="968"/>
      <c r="H574" s="968"/>
      <c r="I574" s="968"/>
      <c r="J574" s="968"/>
      <c r="K574" s="967"/>
      <c r="L574" s="967"/>
      <c r="M574" s="967"/>
      <c r="N574" s="967"/>
      <c r="O574" s="1007"/>
      <c r="P574" s="1007"/>
      <c r="Q574" s="1008"/>
    </row>
    <row r="575" spans="1:17" hidden="1">
      <c r="A575" s="966"/>
      <c r="B575" s="967"/>
      <c r="C575" s="967">
        <v>530</v>
      </c>
      <c r="D575" s="967"/>
      <c r="E575" s="968"/>
      <c r="F575" s="968"/>
      <c r="G575" s="968"/>
      <c r="H575" s="968"/>
      <c r="I575" s="968"/>
      <c r="J575" s="968"/>
      <c r="K575" s="967"/>
      <c r="L575" s="967"/>
      <c r="M575" s="967"/>
      <c r="N575" s="967"/>
      <c r="O575" s="1007"/>
      <c r="P575" s="1007"/>
      <c r="Q575" s="1008"/>
    </row>
    <row r="576" spans="1:17" hidden="1">
      <c r="A576" s="966"/>
      <c r="B576" s="967"/>
      <c r="C576" s="967">
        <v>531</v>
      </c>
      <c r="D576" s="967"/>
      <c r="E576" s="968"/>
      <c r="F576" s="968"/>
      <c r="G576" s="968"/>
      <c r="H576" s="968"/>
      <c r="I576" s="968"/>
      <c r="J576" s="968"/>
      <c r="K576" s="967"/>
      <c r="L576" s="967"/>
      <c r="M576" s="967"/>
      <c r="N576" s="967"/>
      <c r="O576" s="1007"/>
      <c r="P576" s="1007"/>
      <c r="Q576" s="1008"/>
    </row>
    <row r="577" spans="1:17" hidden="1">
      <c r="A577" s="966"/>
      <c r="B577" s="967"/>
      <c r="C577" s="967">
        <v>532</v>
      </c>
      <c r="D577" s="967"/>
      <c r="E577" s="968"/>
      <c r="F577" s="968"/>
      <c r="G577" s="968"/>
      <c r="H577" s="968"/>
      <c r="I577" s="968"/>
      <c r="J577" s="968"/>
      <c r="K577" s="967"/>
      <c r="L577" s="967"/>
      <c r="M577" s="967"/>
      <c r="N577" s="967"/>
      <c r="O577" s="1007"/>
      <c r="P577" s="1007"/>
      <c r="Q577" s="1008"/>
    </row>
    <row r="578" spans="1:17" hidden="1">
      <c r="A578" s="966"/>
      <c r="B578" s="967"/>
      <c r="C578" s="967">
        <v>533</v>
      </c>
      <c r="D578" s="967"/>
      <c r="E578" s="968"/>
      <c r="F578" s="968"/>
      <c r="G578" s="968"/>
      <c r="H578" s="968"/>
      <c r="I578" s="968"/>
      <c r="J578" s="968"/>
      <c r="K578" s="967"/>
      <c r="L578" s="967"/>
      <c r="M578" s="967"/>
      <c r="N578" s="967"/>
      <c r="O578" s="1007"/>
      <c r="P578" s="1007"/>
      <c r="Q578" s="1008"/>
    </row>
    <row r="579" spans="1:17" hidden="1">
      <c r="A579" s="966"/>
      <c r="B579" s="967"/>
      <c r="C579" s="967">
        <v>534</v>
      </c>
      <c r="D579" s="967"/>
      <c r="E579" s="968"/>
      <c r="F579" s="968"/>
      <c r="G579" s="968"/>
      <c r="H579" s="968"/>
      <c r="I579" s="968"/>
      <c r="J579" s="968"/>
      <c r="K579" s="967"/>
      <c r="L579" s="967"/>
      <c r="M579" s="967"/>
      <c r="N579" s="967"/>
      <c r="O579" s="1007"/>
      <c r="P579" s="1007"/>
      <c r="Q579" s="1008"/>
    </row>
    <row r="580" spans="1:17" hidden="1">
      <c r="A580" s="966"/>
      <c r="B580" s="967"/>
      <c r="C580" s="967">
        <v>535</v>
      </c>
      <c r="D580" s="967"/>
      <c r="E580" s="968"/>
      <c r="F580" s="968"/>
      <c r="G580" s="968"/>
      <c r="H580" s="968"/>
      <c r="I580" s="968"/>
      <c r="J580" s="968"/>
      <c r="K580" s="967"/>
      <c r="L580" s="967"/>
      <c r="M580" s="967"/>
      <c r="N580" s="967"/>
      <c r="O580" s="1007"/>
      <c r="P580" s="1007"/>
      <c r="Q580" s="1008"/>
    </row>
    <row r="581" spans="1:17" hidden="1">
      <c r="A581" s="966"/>
      <c r="B581" s="967"/>
      <c r="C581" s="967">
        <v>536</v>
      </c>
      <c r="D581" s="967"/>
      <c r="E581" s="968"/>
      <c r="F581" s="968"/>
      <c r="G581" s="968"/>
      <c r="H581" s="968"/>
      <c r="I581" s="968"/>
      <c r="J581" s="968"/>
      <c r="K581" s="967"/>
      <c r="L581" s="967"/>
      <c r="M581" s="967"/>
      <c r="N581" s="967"/>
      <c r="O581" s="1007"/>
      <c r="P581" s="1007"/>
      <c r="Q581" s="1008"/>
    </row>
    <row r="582" spans="1:17" hidden="1">
      <c r="A582" s="966"/>
      <c r="B582" s="967"/>
      <c r="C582" s="967">
        <v>537</v>
      </c>
      <c r="D582" s="967"/>
      <c r="E582" s="968"/>
      <c r="F582" s="968"/>
      <c r="G582" s="968"/>
      <c r="H582" s="968"/>
      <c r="I582" s="968"/>
      <c r="J582" s="968"/>
      <c r="K582" s="967"/>
      <c r="L582" s="967"/>
      <c r="M582" s="967"/>
      <c r="N582" s="967"/>
      <c r="O582" s="1007"/>
      <c r="P582" s="1007"/>
      <c r="Q582" s="1008"/>
    </row>
    <row r="583" spans="1:17" hidden="1">
      <c r="A583" s="966"/>
      <c r="B583" s="967"/>
      <c r="C583" s="967">
        <v>538</v>
      </c>
      <c r="D583" s="967"/>
      <c r="E583" s="968"/>
      <c r="F583" s="968"/>
      <c r="G583" s="968"/>
      <c r="H583" s="968"/>
      <c r="I583" s="968"/>
      <c r="J583" s="968"/>
      <c r="K583" s="967"/>
      <c r="L583" s="967"/>
      <c r="M583" s="967"/>
      <c r="N583" s="967"/>
      <c r="O583" s="1007"/>
      <c r="P583" s="1007"/>
      <c r="Q583" s="1008"/>
    </row>
    <row r="584" spans="1:17" hidden="1">
      <c r="A584" s="966"/>
      <c r="B584" s="967"/>
      <c r="C584" s="967">
        <v>539</v>
      </c>
      <c r="D584" s="967"/>
      <c r="E584" s="968"/>
      <c r="F584" s="968"/>
      <c r="G584" s="968"/>
      <c r="H584" s="968"/>
      <c r="I584" s="968"/>
      <c r="J584" s="968"/>
      <c r="K584" s="967"/>
      <c r="L584" s="967"/>
      <c r="M584" s="967"/>
      <c r="N584" s="967"/>
      <c r="O584" s="1007"/>
      <c r="P584" s="1007"/>
      <c r="Q584" s="1008"/>
    </row>
    <row r="585" spans="1:17" hidden="1">
      <c r="A585" s="966"/>
      <c r="B585" s="967"/>
      <c r="C585" s="967">
        <v>540</v>
      </c>
      <c r="D585" s="967"/>
      <c r="E585" s="968"/>
      <c r="F585" s="968"/>
      <c r="G585" s="968"/>
      <c r="H585" s="968"/>
      <c r="I585" s="968"/>
      <c r="J585" s="968"/>
      <c r="K585" s="967"/>
      <c r="L585" s="967"/>
      <c r="M585" s="967"/>
      <c r="N585" s="967"/>
      <c r="O585" s="1007"/>
      <c r="P585" s="1007"/>
      <c r="Q585" s="1008"/>
    </row>
    <row r="586" spans="1:17" hidden="1">
      <c r="A586" s="966"/>
      <c r="B586" s="967"/>
      <c r="C586" s="967">
        <v>541</v>
      </c>
      <c r="D586" s="967"/>
      <c r="E586" s="968"/>
      <c r="F586" s="968"/>
      <c r="G586" s="968"/>
      <c r="H586" s="968"/>
      <c r="I586" s="968"/>
      <c r="J586" s="968"/>
      <c r="K586" s="967"/>
      <c r="L586" s="967"/>
      <c r="M586" s="967"/>
      <c r="N586" s="967"/>
      <c r="O586" s="1007"/>
      <c r="P586" s="1007"/>
      <c r="Q586" s="1008"/>
    </row>
    <row r="587" spans="1:17" hidden="1">
      <c r="A587" s="966"/>
      <c r="B587" s="967"/>
      <c r="C587" s="967">
        <v>542</v>
      </c>
      <c r="D587" s="967"/>
      <c r="E587" s="968"/>
      <c r="F587" s="968"/>
      <c r="G587" s="968"/>
      <c r="H587" s="968"/>
      <c r="I587" s="968"/>
      <c r="J587" s="968"/>
      <c r="K587" s="967"/>
      <c r="L587" s="967"/>
      <c r="M587" s="967"/>
      <c r="N587" s="967"/>
      <c r="O587" s="1007"/>
      <c r="P587" s="1007"/>
      <c r="Q587" s="1008"/>
    </row>
    <row r="588" spans="1:17" hidden="1">
      <c r="A588" s="966"/>
      <c r="B588" s="967"/>
      <c r="C588" s="967">
        <v>543</v>
      </c>
      <c r="D588" s="967"/>
      <c r="E588" s="968"/>
      <c r="F588" s="968"/>
      <c r="G588" s="968"/>
      <c r="H588" s="968"/>
      <c r="I588" s="968"/>
      <c r="J588" s="968"/>
      <c r="K588" s="967"/>
      <c r="L588" s="967"/>
      <c r="M588" s="967"/>
      <c r="N588" s="967"/>
      <c r="O588" s="1007"/>
      <c r="P588" s="1007"/>
      <c r="Q588" s="1008"/>
    </row>
    <row r="589" spans="1:17" hidden="1">
      <c r="A589" s="966"/>
      <c r="B589" s="967"/>
      <c r="C589" s="967">
        <v>544</v>
      </c>
      <c r="D589" s="967"/>
      <c r="E589" s="968"/>
      <c r="F589" s="968"/>
      <c r="G589" s="968"/>
      <c r="H589" s="968"/>
      <c r="I589" s="968"/>
      <c r="J589" s="968"/>
      <c r="K589" s="967"/>
      <c r="L589" s="967"/>
      <c r="M589" s="967"/>
      <c r="N589" s="967"/>
      <c r="O589" s="1007"/>
      <c r="P589" s="1007"/>
      <c r="Q589" s="1008"/>
    </row>
    <row r="590" spans="1:17" hidden="1">
      <c r="A590" s="966"/>
      <c r="B590" s="967"/>
      <c r="C590" s="967">
        <v>545</v>
      </c>
      <c r="D590" s="967"/>
      <c r="E590" s="968"/>
      <c r="F590" s="968"/>
      <c r="G590" s="968"/>
      <c r="H590" s="968"/>
      <c r="I590" s="968"/>
      <c r="J590" s="968"/>
      <c r="K590" s="967"/>
      <c r="L590" s="967"/>
      <c r="M590" s="967"/>
      <c r="N590" s="967"/>
      <c r="O590" s="1007"/>
      <c r="P590" s="1007"/>
      <c r="Q590" s="1008"/>
    </row>
    <row r="591" spans="1:17" hidden="1">
      <c r="A591" s="966"/>
      <c r="B591" s="967"/>
      <c r="C591" s="967">
        <v>546</v>
      </c>
      <c r="D591" s="967"/>
      <c r="E591" s="968"/>
      <c r="F591" s="968"/>
      <c r="G591" s="968"/>
      <c r="H591" s="968"/>
      <c r="I591" s="968"/>
      <c r="J591" s="968"/>
      <c r="K591" s="967"/>
      <c r="L591" s="967"/>
      <c r="M591" s="967"/>
      <c r="N591" s="967"/>
      <c r="O591" s="1007"/>
      <c r="P591" s="1007"/>
      <c r="Q591" s="1008"/>
    </row>
    <row r="592" spans="1:17" hidden="1">
      <c r="A592" s="966"/>
      <c r="B592" s="967"/>
      <c r="C592" s="967">
        <v>547</v>
      </c>
      <c r="D592" s="967"/>
      <c r="E592" s="968"/>
      <c r="F592" s="968"/>
      <c r="G592" s="968"/>
      <c r="H592" s="968"/>
      <c r="I592" s="968"/>
      <c r="J592" s="968"/>
      <c r="K592" s="967"/>
      <c r="L592" s="967"/>
      <c r="M592" s="967"/>
      <c r="N592" s="967"/>
      <c r="O592" s="1007"/>
      <c r="P592" s="1007"/>
      <c r="Q592" s="1008"/>
    </row>
    <row r="593" spans="1:17" hidden="1">
      <c r="A593" s="966"/>
      <c r="B593" s="967"/>
      <c r="C593" s="967">
        <v>548</v>
      </c>
      <c r="D593" s="967"/>
      <c r="E593" s="968"/>
      <c r="F593" s="968"/>
      <c r="G593" s="968"/>
      <c r="H593" s="968"/>
      <c r="I593" s="968"/>
      <c r="J593" s="968"/>
      <c r="K593" s="967"/>
      <c r="L593" s="967"/>
      <c r="M593" s="967"/>
      <c r="N593" s="967"/>
      <c r="O593" s="1007"/>
      <c r="P593" s="1007"/>
      <c r="Q593" s="1008"/>
    </row>
    <row r="594" spans="1:17" hidden="1">
      <c r="A594" s="966"/>
      <c r="B594" s="967"/>
      <c r="C594" s="967">
        <v>549</v>
      </c>
      <c r="D594" s="967"/>
      <c r="E594" s="968"/>
      <c r="F594" s="968"/>
      <c r="G594" s="968"/>
      <c r="H594" s="968"/>
      <c r="I594" s="968"/>
      <c r="J594" s="968"/>
      <c r="K594" s="967"/>
      <c r="L594" s="967"/>
      <c r="M594" s="967"/>
      <c r="N594" s="967"/>
      <c r="O594" s="1007"/>
      <c r="P594" s="1007"/>
      <c r="Q594" s="1008"/>
    </row>
    <row r="595" spans="1:17" hidden="1">
      <c r="A595" s="966"/>
      <c r="B595" s="967"/>
      <c r="C595" s="967">
        <v>550</v>
      </c>
      <c r="D595" s="967"/>
      <c r="E595" s="968"/>
      <c r="F595" s="968"/>
      <c r="G595" s="968"/>
      <c r="H595" s="968"/>
      <c r="I595" s="968"/>
      <c r="J595" s="968"/>
      <c r="K595" s="967"/>
      <c r="L595" s="967"/>
      <c r="M595" s="967"/>
      <c r="N595" s="967"/>
      <c r="O595" s="1007"/>
      <c r="P595" s="1007"/>
      <c r="Q595" s="1008"/>
    </row>
    <row r="596" spans="1:17" hidden="1">
      <c r="A596" s="966"/>
      <c r="B596" s="967"/>
      <c r="C596" s="967">
        <v>551</v>
      </c>
      <c r="D596" s="967"/>
      <c r="E596" s="968"/>
      <c r="F596" s="968"/>
      <c r="G596" s="968"/>
      <c r="H596" s="968"/>
      <c r="I596" s="968"/>
      <c r="J596" s="968"/>
      <c r="K596" s="967"/>
      <c r="L596" s="967"/>
      <c r="M596" s="967"/>
      <c r="N596" s="967"/>
      <c r="O596" s="1007"/>
      <c r="P596" s="1007"/>
      <c r="Q596" s="1008"/>
    </row>
    <row r="597" spans="1:17" hidden="1">
      <c r="A597" s="966"/>
      <c r="B597" s="967"/>
      <c r="C597" s="967">
        <v>552</v>
      </c>
      <c r="D597" s="967"/>
      <c r="E597" s="968"/>
      <c r="F597" s="968"/>
      <c r="G597" s="968"/>
      <c r="H597" s="968"/>
      <c r="I597" s="968"/>
      <c r="J597" s="968"/>
      <c r="K597" s="967"/>
      <c r="L597" s="967"/>
      <c r="M597" s="967"/>
      <c r="N597" s="967"/>
      <c r="O597" s="1007"/>
      <c r="P597" s="1007"/>
      <c r="Q597" s="1008"/>
    </row>
    <row r="598" spans="1:17" hidden="1">
      <c r="A598" s="966"/>
      <c r="B598" s="967"/>
      <c r="C598" s="967">
        <v>553</v>
      </c>
      <c r="D598" s="967"/>
      <c r="E598" s="968"/>
      <c r="F598" s="968"/>
      <c r="G598" s="968"/>
      <c r="H598" s="968"/>
      <c r="I598" s="968"/>
      <c r="J598" s="968"/>
      <c r="K598" s="967"/>
      <c r="L598" s="967"/>
      <c r="M598" s="967"/>
      <c r="N598" s="967"/>
      <c r="O598" s="1007"/>
      <c r="P598" s="1007"/>
      <c r="Q598" s="1008"/>
    </row>
    <row r="599" spans="1:17" hidden="1">
      <c r="A599" s="966"/>
      <c r="B599" s="967"/>
      <c r="C599" s="967">
        <v>554</v>
      </c>
      <c r="D599" s="967"/>
      <c r="E599" s="968"/>
      <c r="F599" s="968"/>
      <c r="G599" s="968"/>
      <c r="H599" s="968"/>
      <c r="I599" s="968"/>
      <c r="J599" s="968"/>
      <c r="K599" s="967"/>
      <c r="L599" s="967"/>
      <c r="M599" s="967"/>
      <c r="N599" s="967"/>
      <c r="O599" s="1007"/>
      <c r="P599" s="1007"/>
      <c r="Q599" s="1008"/>
    </row>
    <row r="600" spans="1:17" hidden="1">
      <c r="A600" s="966"/>
      <c r="B600" s="967"/>
      <c r="C600" s="967">
        <v>555</v>
      </c>
      <c r="D600" s="967"/>
      <c r="E600" s="968"/>
      <c r="F600" s="968"/>
      <c r="G600" s="968"/>
      <c r="H600" s="968"/>
      <c r="I600" s="968"/>
      <c r="J600" s="968"/>
      <c r="K600" s="967"/>
      <c r="L600" s="967"/>
      <c r="M600" s="967"/>
      <c r="N600" s="967"/>
      <c r="O600" s="1007"/>
      <c r="P600" s="1007"/>
      <c r="Q600" s="1008"/>
    </row>
    <row r="601" spans="1:17" hidden="1">
      <c r="A601" s="966"/>
      <c r="B601" s="967"/>
      <c r="C601" s="967">
        <v>556</v>
      </c>
      <c r="D601" s="967"/>
      <c r="E601" s="968"/>
      <c r="F601" s="968"/>
      <c r="G601" s="968"/>
      <c r="H601" s="968"/>
      <c r="I601" s="968"/>
      <c r="J601" s="968"/>
      <c r="K601" s="967"/>
      <c r="L601" s="967"/>
      <c r="M601" s="967"/>
      <c r="N601" s="967"/>
      <c r="O601" s="1007"/>
      <c r="P601" s="1007"/>
      <c r="Q601" s="1008"/>
    </row>
    <row r="602" spans="1:17" hidden="1">
      <c r="A602" s="966"/>
      <c r="B602" s="967"/>
      <c r="C602" s="967">
        <v>557</v>
      </c>
      <c r="D602" s="967"/>
      <c r="E602" s="968"/>
      <c r="F602" s="968"/>
      <c r="G602" s="968"/>
      <c r="H602" s="968"/>
      <c r="I602" s="968"/>
      <c r="J602" s="968"/>
      <c r="K602" s="967"/>
      <c r="L602" s="967"/>
      <c r="M602" s="967"/>
      <c r="N602" s="967"/>
      <c r="O602" s="1007"/>
      <c r="P602" s="1007"/>
      <c r="Q602" s="1008"/>
    </row>
    <row r="603" spans="1:17" hidden="1">
      <c r="A603" s="966"/>
      <c r="B603" s="967"/>
      <c r="C603" s="967">
        <v>558</v>
      </c>
      <c r="D603" s="967"/>
      <c r="E603" s="968"/>
      <c r="F603" s="968"/>
      <c r="G603" s="968"/>
      <c r="H603" s="968"/>
      <c r="I603" s="968"/>
      <c r="J603" s="968"/>
      <c r="K603" s="967"/>
      <c r="L603" s="967"/>
      <c r="M603" s="967"/>
      <c r="N603" s="967"/>
      <c r="O603" s="1007"/>
      <c r="P603" s="1007"/>
      <c r="Q603" s="1008"/>
    </row>
    <row r="604" spans="1:17" hidden="1">
      <c r="A604" s="966"/>
      <c r="B604" s="967"/>
      <c r="C604" s="967">
        <v>559</v>
      </c>
      <c r="D604" s="967"/>
      <c r="E604" s="968"/>
      <c r="F604" s="968"/>
      <c r="G604" s="968"/>
      <c r="H604" s="968"/>
      <c r="I604" s="968"/>
      <c r="J604" s="968"/>
      <c r="K604" s="967"/>
      <c r="L604" s="967"/>
      <c r="M604" s="967"/>
      <c r="N604" s="967"/>
      <c r="O604" s="1007"/>
      <c r="P604" s="1007"/>
      <c r="Q604" s="1008"/>
    </row>
    <row r="605" spans="1:17" hidden="1">
      <c r="A605" s="966"/>
      <c r="B605" s="967"/>
      <c r="C605" s="967">
        <v>560</v>
      </c>
      <c r="D605" s="967"/>
      <c r="E605" s="968"/>
      <c r="F605" s="968"/>
      <c r="G605" s="968"/>
      <c r="H605" s="968"/>
      <c r="I605" s="968"/>
      <c r="J605" s="968"/>
      <c r="K605" s="967"/>
      <c r="L605" s="967"/>
      <c r="M605" s="967"/>
      <c r="N605" s="967"/>
      <c r="O605" s="1007"/>
      <c r="P605" s="1007"/>
      <c r="Q605" s="1008"/>
    </row>
    <row r="606" spans="1:17" hidden="1">
      <c r="A606" s="966"/>
      <c r="B606" s="967"/>
      <c r="C606" s="967">
        <v>561</v>
      </c>
      <c r="D606" s="967"/>
      <c r="E606" s="968"/>
      <c r="F606" s="968"/>
      <c r="G606" s="968"/>
      <c r="H606" s="968"/>
      <c r="I606" s="968"/>
      <c r="J606" s="968"/>
      <c r="K606" s="967"/>
      <c r="L606" s="967"/>
      <c r="M606" s="967"/>
      <c r="N606" s="967"/>
      <c r="O606" s="1007"/>
      <c r="P606" s="1007"/>
      <c r="Q606" s="1008"/>
    </row>
    <row r="607" spans="1:17" hidden="1">
      <c r="A607" s="966"/>
      <c r="B607" s="967"/>
      <c r="C607" s="967">
        <v>562</v>
      </c>
      <c r="D607" s="967"/>
      <c r="E607" s="968"/>
      <c r="F607" s="968"/>
      <c r="G607" s="968"/>
      <c r="H607" s="968"/>
      <c r="I607" s="968"/>
      <c r="J607" s="968"/>
      <c r="K607" s="967"/>
      <c r="L607" s="967"/>
      <c r="M607" s="967"/>
      <c r="N607" s="967"/>
      <c r="O607" s="1007"/>
      <c r="P607" s="1007"/>
      <c r="Q607" s="1008"/>
    </row>
    <row r="608" spans="1:17" hidden="1">
      <c r="A608" s="966"/>
      <c r="B608" s="967"/>
      <c r="C608" s="967">
        <v>563</v>
      </c>
      <c r="D608" s="967"/>
      <c r="E608" s="968"/>
      <c r="F608" s="968"/>
      <c r="G608" s="968"/>
      <c r="H608" s="968"/>
      <c r="I608" s="968"/>
      <c r="J608" s="968"/>
      <c r="K608" s="967"/>
      <c r="L608" s="967"/>
      <c r="M608" s="967"/>
      <c r="N608" s="967"/>
      <c r="O608" s="1007"/>
      <c r="P608" s="1007"/>
      <c r="Q608" s="1008"/>
    </row>
    <row r="609" spans="1:17" hidden="1">
      <c r="A609" s="966"/>
      <c r="B609" s="967"/>
      <c r="C609" s="967">
        <v>564</v>
      </c>
      <c r="D609" s="967"/>
      <c r="E609" s="968"/>
      <c r="F609" s="968"/>
      <c r="G609" s="968"/>
      <c r="H609" s="968"/>
      <c r="I609" s="968"/>
      <c r="J609" s="968"/>
      <c r="K609" s="967"/>
      <c r="L609" s="967"/>
      <c r="M609" s="967"/>
      <c r="N609" s="967"/>
      <c r="O609" s="1007"/>
      <c r="P609" s="1007"/>
      <c r="Q609" s="1008"/>
    </row>
    <row r="610" spans="1:17" hidden="1">
      <c r="A610" s="966"/>
      <c r="B610" s="967"/>
      <c r="C610" s="967">
        <v>565</v>
      </c>
      <c r="D610" s="967"/>
      <c r="E610" s="968"/>
      <c r="F610" s="968"/>
      <c r="G610" s="968"/>
      <c r="H610" s="968"/>
      <c r="I610" s="968"/>
      <c r="J610" s="968"/>
      <c r="K610" s="967"/>
      <c r="L610" s="967"/>
      <c r="M610" s="967"/>
      <c r="N610" s="967"/>
      <c r="O610" s="1007"/>
      <c r="P610" s="1007"/>
      <c r="Q610" s="1008"/>
    </row>
    <row r="611" spans="1:17" hidden="1">
      <c r="A611" s="966"/>
      <c r="B611" s="967"/>
      <c r="C611" s="967">
        <v>566</v>
      </c>
      <c r="D611" s="967"/>
      <c r="E611" s="968"/>
      <c r="F611" s="968"/>
      <c r="G611" s="968"/>
      <c r="H611" s="968"/>
      <c r="I611" s="968"/>
      <c r="J611" s="968"/>
      <c r="K611" s="967"/>
      <c r="L611" s="967"/>
      <c r="M611" s="967"/>
      <c r="N611" s="967"/>
      <c r="O611" s="1007"/>
      <c r="P611" s="1007"/>
      <c r="Q611" s="1008"/>
    </row>
    <row r="612" spans="1:17" hidden="1">
      <c r="A612" s="966"/>
      <c r="B612" s="967"/>
      <c r="C612" s="967">
        <v>567</v>
      </c>
      <c r="D612" s="967"/>
      <c r="E612" s="968"/>
      <c r="F612" s="968"/>
      <c r="G612" s="968"/>
      <c r="H612" s="968"/>
      <c r="I612" s="968"/>
      <c r="J612" s="968"/>
      <c r="K612" s="967"/>
      <c r="L612" s="967"/>
      <c r="M612" s="967"/>
      <c r="N612" s="967"/>
      <c r="O612" s="1007"/>
      <c r="P612" s="1007"/>
      <c r="Q612" s="1008"/>
    </row>
    <row r="613" spans="1:17" hidden="1">
      <c r="A613" s="966"/>
      <c r="B613" s="967"/>
      <c r="C613" s="967">
        <v>568</v>
      </c>
      <c r="D613" s="967"/>
      <c r="E613" s="968"/>
      <c r="F613" s="968"/>
      <c r="G613" s="968"/>
      <c r="H613" s="968"/>
      <c r="I613" s="968"/>
      <c r="J613" s="968"/>
      <c r="K613" s="967"/>
      <c r="L613" s="967"/>
      <c r="M613" s="967"/>
      <c r="N613" s="967"/>
      <c r="O613" s="1007"/>
      <c r="P613" s="1007"/>
      <c r="Q613" s="1008"/>
    </row>
    <row r="614" spans="1:17" hidden="1">
      <c r="A614" s="966"/>
      <c r="B614" s="967"/>
      <c r="C614" s="967">
        <v>569</v>
      </c>
      <c r="D614" s="967"/>
      <c r="E614" s="968"/>
      <c r="F614" s="968"/>
      <c r="G614" s="968"/>
      <c r="H614" s="968"/>
      <c r="I614" s="968"/>
      <c r="J614" s="968"/>
      <c r="K614" s="967"/>
      <c r="L614" s="967"/>
      <c r="M614" s="967"/>
      <c r="N614" s="967"/>
      <c r="O614" s="1007"/>
      <c r="P614" s="1007"/>
      <c r="Q614" s="1008"/>
    </row>
    <row r="615" spans="1:17" hidden="1">
      <c r="A615" s="966"/>
      <c r="B615" s="967"/>
      <c r="C615" s="967">
        <v>570</v>
      </c>
      <c r="D615" s="967"/>
      <c r="E615" s="968"/>
      <c r="F615" s="968"/>
      <c r="G615" s="968"/>
      <c r="H615" s="968"/>
      <c r="I615" s="968"/>
      <c r="J615" s="968"/>
      <c r="K615" s="967"/>
      <c r="L615" s="967"/>
      <c r="M615" s="967"/>
      <c r="N615" s="967"/>
      <c r="O615" s="1007"/>
      <c r="P615" s="1007"/>
      <c r="Q615" s="1008"/>
    </row>
    <row r="616" spans="1:17" hidden="1">
      <c r="A616" s="966"/>
      <c r="B616" s="967"/>
      <c r="C616" s="967">
        <v>571</v>
      </c>
      <c r="D616" s="967"/>
      <c r="E616" s="968"/>
      <c r="F616" s="968"/>
      <c r="G616" s="968"/>
      <c r="H616" s="968"/>
      <c r="I616" s="968"/>
      <c r="J616" s="968"/>
      <c r="K616" s="967"/>
      <c r="L616" s="967"/>
      <c r="M616" s="967"/>
      <c r="N616" s="967"/>
      <c r="O616" s="1007"/>
      <c r="P616" s="1007"/>
      <c r="Q616" s="1008"/>
    </row>
    <row r="617" spans="1:17" hidden="1">
      <c r="A617" s="966"/>
      <c r="B617" s="967"/>
      <c r="C617" s="967">
        <v>572</v>
      </c>
      <c r="D617" s="967"/>
      <c r="E617" s="968"/>
      <c r="F617" s="968"/>
      <c r="G617" s="968"/>
      <c r="H617" s="968"/>
      <c r="I617" s="968"/>
      <c r="J617" s="968"/>
      <c r="K617" s="967"/>
      <c r="L617" s="967"/>
      <c r="M617" s="967"/>
      <c r="N617" s="967"/>
      <c r="O617" s="1007"/>
      <c r="P617" s="1007"/>
      <c r="Q617" s="1008"/>
    </row>
    <row r="618" spans="1:17" hidden="1">
      <c r="A618" s="966"/>
      <c r="B618" s="967"/>
      <c r="C618" s="967">
        <v>573</v>
      </c>
      <c r="D618" s="967"/>
      <c r="E618" s="968"/>
      <c r="F618" s="968"/>
      <c r="G618" s="968"/>
      <c r="H618" s="968"/>
      <c r="I618" s="968"/>
      <c r="J618" s="968"/>
      <c r="K618" s="967"/>
      <c r="L618" s="967"/>
      <c r="M618" s="967"/>
      <c r="N618" s="967"/>
      <c r="O618" s="1007"/>
      <c r="P618" s="1007"/>
      <c r="Q618" s="1008"/>
    </row>
    <row r="619" spans="1:17" hidden="1">
      <c r="A619" s="966"/>
      <c r="B619" s="967"/>
      <c r="C619" s="967">
        <v>574</v>
      </c>
      <c r="D619" s="967"/>
      <c r="E619" s="968"/>
      <c r="F619" s="968"/>
      <c r="G619" s="968"/>
      <c r="H619" s="968"/>
      <c r="I619" s="968"/>
      <c r="J619" s="968"/>
      <c r="K619" s="967"/>
      <c r="L619" s="967"/>
      <c r="M619" s="967"/>
      <c r="N619" s="967"/>
      <c r="O619" s="1007"/>
      <c r="P619" s="1007"/>
      <c r="Q619" s="1008"/>
    </row>
    <row r="620" spans="1:17" hidden="1">
      <c r="A620" s="966"/>
      <c r="B620" s="967"/>
      <c r="C620" s="967">
        <v>575</v>
      </c>
      <c r="D620" s="967"/>
      <c r="E620" s="968"/>
      <c r="F620" s="968"/>
      <c r="G620" s="968"/>
      <c r="H620" s="968"/>
      <c r="I620" s="968"/>
      <c r="J620" s="968"/>
      <c r="K620" s="967"/>
      <c r="L620" s="967"/>
      <c r="M620" s="967"/>
      <c r="N620" s="967"/>
      <c r="O620" s="1007"/>
      <c r="P620" s="1007"/>
      <c r="Q620" s="1008"/>
    </row>
    <row r="621" spans="1:17" hidden="1">
      <c r="A621" s="966"/>
      <c r="B621" s="967"/>
      <c r="C621" s="967">
        <v>576</v>
      </c>
      <c r="D621" s="967"/>
      <c r="E621" s="968"/>
      <c r="F621" s="968"/>
      <c r="G621" s="968"/>
      <c r="H621" s="968"/>
      <c r="I621" s="968"/>
      <c r="J621" s="968"/>
      <c r="K621" s="967"/>
      <c r="L621" s="967"/>
      <c r="M621" s="967"/>
      <c r="N621" s="967"/>
      <c r="O621" s="1007"/>
      <c r="P621" s="1007"/>
      <c r="Q621" s="1008"/>
    </row>
    <row r="622" spans="1:17" hidden="1">
      <c r="A622" s="966"/>
      <c r="B622" s="967"/>
      <c r="C622" s="967">
        <v>577</v>
      </c>
      <c r="D622" s="967"/>
      <c r="E622" s="968"/>
      <c r="F622" s="968"/>
      <c r="G622" s="968"/>
      <c r="H622" s="968"/>
      <c r="I622" s="968"/>
      <c r="J622" s="968"/>
      <c r="K622" s="967"/>
      <c r="L622" s="967"/>
      <c r="M622" s="967"/>
      <c r="N622" s="967"/>
      <c r="O622" s="1007"/>
      <c r="P622" s="1007"/>
      <c r="Q622" s="1008"/>
    </row>
    <row r="623" spans="1:17" hidden="1">
      <c r="A623" s="966"/>
      <c r="B623" s="967"/>
      <c r="C623" s="967">
        <v>578</v>
      </c>
      <c r="D623" s="967"/>
      <c r="E623" s="968"/>
      <c r="F623" s="968"/>
      <c r="G623" s="968"/>
      <c r="H623" s="968"/>
      <c r="I623" s="968"/>
      <c r="J623" s="968"/>
      <c r="K623" s="967"/>
      <c r="L623" s="967"/>
      <c r="M623" s="967"/>
      <c r="N623" s="967"/>
      <c r="O623" s="1007"/>
      <c r="P623" s="1007"/>
      <c r="Q623" s="1008"/>
    </row>
    <row r="624" spans="1:17" hidden="1">
      <c r="A624" s="966"/>
      <c r="B624" s="967"/>
      <c r="C624" s="967">
        <v>579</v>
      </c>
      <c r="D624" s="967"/>
      <c r="E624" s="968"/>
      <c r="F624" s="968"/>
      <c r="G624" s="968"/>
      <c r="H624" s="968"/>
      <c r="I624" s="968"/>
      <c r="J624" s="968"/>
      <c r="K624" s="967"/>
      <c r="L624" s="967"/>
      <c r="M624" s="967"/>
      <c r="N624" s="967"/>
      <c r="O624" s="1007"/>
      <c r="P624" s="1007"/>
      <c r="Q624" s="1008"/>
    </row>
    <row r="625" spans="1:17" hidden="1">
      <c r="A625" s="966"/>
      <c r="B625" s="967"/>
      <c r="C625" s="967">
        <v>580</v>
      </c>
      <c r="D625" s="967"/>
      <c r="E625" s="968"/>
      <c r="F625" s="968"/>
      <c r="G625" s="968"/>
      <c r="H625" s="968"/>
      <c r="I625" s="968"/>
      <c r="J625" s="968"/>
      <c r="K625" s="967"/>
      <c r="L625" s="967"/>
      <c r="M625" s="967"/>
      <c r="N625" s="967"/>
      <c r="O625" s="1007"/>
      <c r="P625" s="1007"/>
      <c r="Q625" s="1008"/>
    </row>
    <row r="626" spans="1:17" hidden="1">
      <c r="A626" s="966"/>
      <c r="B626" s="967"/>
      <c r="C626" s="967">
        <v>581</v>
      </c>
      <c r="D626" s="967"/>
      <c r="E626" s="968"/>
      <c r="F626" s="968"/>
      <c r="G626" s="968"/>
      <c r="H626" s="968"/>
      <c r="I626" s="968"/>
      <c r="J626" s="968"/>
      <c r="K626" s="967"/>
      <c r="L626" s="967"/>
      <c r="M626" s="967"/>
      <c r="N626" s="967"/>
      <c r="O626" s="1007"/>
      <c r="P626" s="1007"/>
      <c r="Q626" s="1008"/>
    </row>
    <row r="627" spans="1:17" hidden="1">
      <c r="A627" s="966"/>
      <c r="B627" s="967"/>
      <c r="C627" s="967">
        <v>582</v>
      </c>
      <c r="D627" s="967"/>
      <c r="E627" s="968"/>
      <c r="F627" s="968"/>
      <c r="G627" s="968"/>
      <c r="H627" s="968"/>
      <c r="I627" s="968"/>
      <c r="J627" s="968"/>
      <c r="K627" s="967"/>
      <c r="L627" s="967"/>
      <c r="M627" s="967"/>
      <c r="N627" s="967"/>
      <c r="O627" s="1007"/>
      <c r="P627" s="1007"/>
      <c r="Q627" s="1008"/>
    </row>
    <row r="628" spans="1:17" hidden="1">
      <c r="A628" s="966"/>
      <c r="B628" s="967"/>
      <c r="C628" s="967">
        <v>583</v>
      </c>
      <c r="D628" s="967"/>
      <c r="E628" s="968"/>
      <c r="F628" s="968"/>
      <c r="G628" s="968"/>
      <c r="H628" s="968"/>
      <c r="I628" s="968"/>
      <c r="J628" s="968"/>
      <c r="K628" s="967"/>
      <c r="L628" s="967"/>
      <c r="M628" s="967"/>
      <c r="N628" s="967"/>
      <c r="O628" s="1007"/>
      <c r="P628" s="1007"/>
      <c r="Q628" s="1008"/>
    </row>
    <row r="629" spans="1:17" hidden="1">
      <c r="A629" s="966"/>
      <c r="B629" s="967"/>
      <c r="C629" s="967">
        <v>584</v>
      </c>
      <c r="D629" s="967"/>
      <c r="E629" s="968"/>
      <c r="F629" s="968"/>
      <c r="G629" s="968"/>
      <c r="H629" s="968"/>
      <c r="I629" s="968"/>
      <c r="J629" s="968"/>
      <c r="K629" s="967"/>
      <c r="L629" s="967"/>
      <c r="M629" s="967"/>
      <c r="N629" s="967"/>
      <c r="O629" s="1007"/>
      <c r="P629" s="1007"/>
      <c r="Q629" s="1008"/>
    </row>
    <row r="630" spans="1:17" hidden="1">
      <c r="A630" s="966"/>
      <c r="B630" s="967"/>
      <c r="C630" s="967">
        <v>585</v>
      </c>
      <c r="D630" s="967"/>
      <c r="E630" s="968"/>
      <c r="F630" s="968"/>
      <c r="G630" s="968"/>
      <c r="H630" s="968"/>
      <c r="I630" s="968"/>
      <c r="J630" s="968"/>
      <c r="K630" s="967"/>
      <c r="L630" s="967"/>
      <c r="M630" s="967"/>
      <c r="N630" s="967"/>
      <c r="O630" s="1007"/>
      <c r="P630" s="1007"/>
      <c r="Q630" s="1008"/>
    </row>
    <row r="631" spans="1:17" hidden="1">
      <c r="A631" s="966"/>
      <c r="B631" s="967"/>
      <c r="C631" s="967">
        <v>586</v>
      </c>
      <c r="D631" s="967"/>
      <c r="E631" s="968"/>
      <c r="F631" s="968"/>
      <c r="G631" s="968"/>
      <c r="H631" s="968"/>
      <c r="I631" s="968"/>
      <c r="J631" s="968"/>
      <c r="K631" s="967"/>
      <c r="L631" s="967"/>
      <c r="M631" s="967"/>
      <c r="N631" s="967"/>
      <c r="O631" s="1007"/>
      <c r="P631" s="1007"/>
      <c r="Q631" s="1008"/>
    </row>
    <row r="632" spans="1:17" hidden="1">
      <c r="A632" s="966"/>
      <c r="B632" s="967"/>
      <c r="C632" s="967">
        <v>587</v>
      </c>
      <c r="D632" s="967"/>
      <c r="E632" s="968"/>
      <c r="F632" s="968"/>
      <c r="G632" s="968"/>
      <c r="H632" s="968"/>
      <c r="I632" s="968"/>
      <c r="J632" s="968"/>
      <c r="K632" s="967"/>
      <c r="L632" s="967"/>
      <c r="M632" s="967"/>
      <c r="N632" s="967"/>
      <c r="O632" s="1007"/>
      <c r="P632" s="1007"/>
      <c r="Q632" s="1008"/>
    </row>
    <row r="633" spans="1:17" hidden="1">
      <c r="A633" s="966"/>
      <c r="B633" s="967"/>
      <c r="C633" s="967">
        <v>588</v>
      </c>
      <c r="D633" s="967"/>
      <c r="E633" s="968"/>
      <c r="F633" s="968"/>
      <c r="G633" s="968"/>
      <c r="H633" s="968"/>
      <c r="I633" s="968"/>
      <c r="J633" s="968"/>
      <c r="K633" s="967"/>
      <c r="L633" s="967"/>
      <c r="M633" s="967"/>
      <c r="N633" s="967"/>
      <c r="O633" s="1007"/>
      <c r="P633" s="1007"/>
      <c r="Q633" s="1008"/>
    </row>
    <row r="634" spans="1:17" hidden="1">
      <c r="A634" s="966"/>
      <c r="B634" s="967"/>
      <c r="C634" s="967">
        <v>589</v>
      </c>
      <c r="D634" s="967"/>
      <c r="E634" s="968"/>
      <c r="F634" s="968"/>
      <c r="G634" s="968"/>
      <c r="H634" s="968"/>
      <c r="I634" s="968"/>
      <c r="J634" s="968"/>
      <c r="K634" s="967"/>
      <c r="L634" s="967"/>
      <c r="M634" s="967"/>
      <c r="N634" s="967"/>
      <c r="O634" s="1007"/>
      <c r="P634" s="1007"/>
      <c r="Q634" s="1008"/>
    </row>
    <row r="635" spans="1:17" hidden="1">
      <c r="A635" s="966"/>
      <c r="B635" s="967"/>
      <c r="C635" s="967">
        <v>590</v>
      </c>
      <c r="D635" s="967"/>
      <c r="E635" s="968"/>
      <c r="F635" s="968"/>
      <c r="G635" s="968"/>
      <c r="H635" s="968"/>
      <c r="I635" s="968"/>
      <c r="J635" s="968"/>
      <c r="K635" s="967"/>
      <c r="L635" s="967"/>
      <c r="M635" s="967"/>
      <c r="N635" s="967"/>
      <c r="O635" s="1007"/>
      <c r="P635" s="1007"/>
      <c r="Q635" s="1008"/>
    </row>
    <row r="636" spans="1:17" hidden="1">
      <c r="A636" s="966"/>
      <c r="B636" s="967"/>
      <c r="C636" s="967">
        <v>591</v>
      </c>
      <c r="D636" s="967"/>
      <c r="E636" s="968"/>
      <c r="F636" s="968"/>
      <c r="G636" s="968"/>
      <c r="H636" s="968"/>
      <c r="I636" s="968"/>
      <c r="J636" s="968"/>
      <c r="K636" s="967"/>
      <c r="L636" s="967"/>
      <c r="M636" s="967"/>
      <c r="N636" s="967"/>
      <c r="O636" s="1007"/>
      <c r="P636" s="1007"/>
      <c r="Q636" s="1008"/>
    </row>
    <row r="637" spans="1:17" hidden="1">
      <c r="A637" s="966"/>
      <c r="B637" s="967"/>
      <c r="C637" s="967">
        <v>592</v>
      </c>
      <c r="D637" s="967"/>
      <c r="E637" s="968"/>
      <c r="F637" s="968"/>
      <c r="G637" s="968"/>
      <c r="H637" s="968"/>
      <c r="I637" s="968"/>
      <c r="J637" s="968"/>
      <c r="K637" s="967"/>
      <c r="L637" s="967"/>
      <c r="M637" s="967"/>
      <c r="N637" s="967"/>
      <c r="O637" s="1007"/>
      <c r="P637" s="1007"/>
      <c r="Q637" s="1008"/>
    </row>
    <row r="638" spans="1:17" hidden="1">
      <c r="A638" s="966"/>
      <c r="B638" s="967"/>
      <c r="C638" s="967">
        <v>593</v>
      </c>
      <c r="D638" s="967"/>
      <c r="E638" s="968"/>
      <c r="F638" s="968"/>
      <c r="G638" s="968"/>
      <c r="H638" s="968"/>
      <c r="I638" s="968"/>
      <c r="J638" s="968"/>
      <c r="K638" s="967"/>
      <c r="L638" s="967"/>
      <c r="M638" s="967"/>
      <c r="N638" s="967"/>
      <c r="O638" s="1007"/>
      <c r="P638" s="1007"/>
      <c r="Q638" s="1008"/>
    </row>
    <row r="639" spans="1:17" hidden="1">
      <c r="A639" s="966"/>
      <c r="B639" s="967"/>
      <c r="C639" s="967">
        <v>594</v>
      </c>
      <c r="D639" s="967"/>
      <c r="E639" s="968"/>
      <c r="F639" s="968"/>
      <c r="G639" s="968"/>
      <c r="H639" s="968"/>
      <c r="I639" s="968"/>
      <c r="J639" s="968"/>
      <c r="K639" s="967"/>
      <c r="L639" s="967"/>
      <c r="M639" s="967"/>
      <c r="N639" s="967"/>
      <c r="O639" s="1007"/>
      <c r="P639" s="1007"/>
      <c r="Q639" s="1008"/>
    </row>
    <row r="640" spans="1:17" hidden="1">
      <c r="A640" s="966"/>
      <c r="B640" s="967"/>
      <c r="C640" s="967">
        <v>595</v>
      </c>
      <c r="D640" s="967"/>
      <c r="E640" s="968"/>
      <c r="F640" s="968"/>
      <c r="G640" s="968"/>
      <c r="H640" s="968"/>
      <c r="I640" s="968"/>
      <c r="J640" s="968"/>
      <c r="K640" s="967"/>
      <c r="L640" s="967"/>
      <c r="M640" s="967"/>
      <c r="N640" s="967"/>
      <c r="O640" s="1007"/>
      <c r="P640" s="1007"/>
      <c r="Q640" s="1008"/>
    </row>
    <row r="641" spans="1:17" hidden="1">
      <c r="A641" s="966"/>
      <c r="B641" s="967"/>
      <c r="C641" s="967">
        <v>596</v>
      </c>
      <c r="D641" s="967"/>
      <c r="E641" s="968"/>
      <c r="F641" s="968"/>
      <c r="G641" s="968"/>
      <c r="H641" s="968"/>
      <c r="I641" s="968"/>
      <c r="J641" s="968"/>
      <c r="K641" s="967"/>
      <c r="L641" s="967"/>
      <c r="M641" s="967"/>
      <c r="N641" s="967"/>
      <c r="O641" s="1007"/>
      <c r="P641" s="1007"/>
      <c r="Q641" s="1008"/>
    </row>
    <row r="642" spans="1:17" hidden="1">
      <c r="A642" s="966"/>
      <c r="B642" s="967"/>
      <c r="C642" s="967">
        <v>597</v>
      </c>
      <c r="D642" s="967"/>
      <c r="E642" s="968"/>
      <c r="F642" s="968"/>
      <c r="G642" s="968"/>
      <c r="H642" s="968"/>
      <c r="I642" s="968"/>
      <c r="J642" s="968"/>
      <c r="K642" s="967"/>
      <c r="L642" s="967"/>
      <c r="M642" s="967"/>
      <c r="N642" s="967"/>
      <c r="O642" s="1007"/>
      <c r="P642" s="1007"/>
      <c r="Q642" s="1008"/>
    </row>
    <row r="643" spans="1:17" hidden="1">
      <c r="A643" s="966"/>
      <c r="B643" s="967"/>
      <c r="C643" s="967">
        <v>598</v>
      </c>
      <c r="D643" s="967"/>
      <c r="E643" s="968"/>
      <c r="F643" s="968"/>
      <c r="G643" s="968"/>
      <c r="H643" s="968"/>
      <c r="I643" s="968"/>
      <c r="J643" s="968"/>
      <c r="K643" s="967"/>
      <c r="L643" s="967"/>
      <c r="M643" s="967"/>
      <c r="N643" s="967"/>
      <c r="O643" s="1007"/>
      <c r="P643" s="1007"/>
      <c r="Q643" s="1008"/>
    </row>
    <row r="644" spans="1:17" hidden="1">
      <c r="A644" s="966"/>
      <c r="B644" s="967"/>
      <c r="C644" s="967">
        <v>599</v>
      </c>
      <c r="D644" s="967"/>
      <c r="E644" s="968"/>
      <c r="F644" s="968"/>
      <c r="G644" s="968"/>
      <c r="H644" s="968"/>
      <c r="I644" s="968"/>
      <c r="J644" s="968"/>
      <c r="K644" s="967"/>
      <c r="L644" s="967"/>
      <c r="M644" s="967"/>
      <c r="N644" s="967"/>
      <c r="O644" s="1007"/>
      <c r="P644" s="1007"/>
      <c r="Q644" s="1008"/>
    </row>
    <row r="645" spans="1:17" hidden="1">
      <c r="A645" s="966"/>
      <c r="B645" s="967"/>
      <c r="C645" s="967">
        <v>600</v>
      </c>
      <c r="D645" s="967"/>
      <c r="E645" s="968"/>
      <c r="F645" s="968"/>
      <c r="G645" s="968"/>
      <c r="H645" s="968"/>
      <c r="I645" s="968"/>
      <c r="J645" s="968"/>
      <c r="K645" s="967"/>
      <c r="L645" s="967"/>
      <c r="M645" s="967"/>
      <c r="N645" s="967"/>
      <c r="O645" s="1007"/>
      <c r="P645" s="1007"/>
      <c r="Q645" s="1008"/>
    </row>
    <row r="646" spans="1:17" hidden="1">
      <c r="A646" s="966"/>
      <c r="B646" s="967"/>
      <c r="C646" s="967">
        <v>601</v>
      </c>
      <c r="D646" s="967"/>
      <c r="E646" s="968"/>
      <c r="F646" s="968"/>
      <c r="G646" s="968"/>
      <c r="H646" s="968"/>
      <c r="I646" s="968"/>
      <c r="J646" s="968"/>
      <c r="K646" s="967"/>
      <c r="L646" s="967"/>
      <c r="M646" s="967"/>
      <c r="N646" s="967"/>
      <c r="O646" s="1007"/>
      <c r="P646" s="1007"/>
      <c r="Q646" s="1008"/>
    </row>
    <row r="647" spans="1:17" hidden="1">
      <c r="A647" s="966"/>
      <c r="B647" s="967"/>
      <c r="C647" s="967">
        <v>602</v>
      </c>
      <c r="D647" s="967"/>
      <c r="E647" s="968"/>
      <c r="F647" s="968"/>
      <c r="G647" s="968"/>
      <c r="H647" s="968"/>
      <c r="I647" s="968"/>
      <c r="J647" s="968"/>
      <c r="K647" s="967"/>
      <c r="L647" s="967"/>
      <c r="M647" s="967"/>
      <c r="N647" s="967"/>
      <c r="O647" s="1007"/>
      <c r="P647" s="1007"/>
      <c r="Q647" s="1008"/>
    </row>
    <row r="648" spans="1:17" hidden="1">
      <c r="A648" s="966"/>
      <c r="B648" s="967"/>
      <c r="C648" s="967">
        <v>603</v>
      </c>
      <c r="D648" s="967"/>
      <c r="E648" s="968"/>
      <c r="F648" s="968"/>
      <c r="G648" s="968"/>
      <c r="H648" s="968"/>
      <c r="I648" s="968"/>
      <c r="J648" s="968"/>
      <c r="K648" s="967"/>
      <c r="L648" s="967"/>
      <c r="M648" s="967"/>
      <c r="N648" s="967"/>
      <c r="O648" s="1007"/>
      <c r="P648" s="1007"/>
      <c r="Q648" s="1008"/>
    </row>
    <row r="649" spans="1:17" hidden="1">
      <c r="A649" s="966"/>
      <c r="B649" s="967"/>
      <c r="C649" s="967">
        <v>604</v>
      </c>
      <c r="D649" s="967"/>
      <c r="E649" s="968"/>
      <c r="F649" s="968"/>
      <c r="G649" s="968"/>
      <c r="H649" s="968"/>
      <c r="I649" s="968"/>
      <c r="J649" s="968"/>
      <c r="K649" s="967"/>
      <c r="L649" s="967"/>
      <c r="M649" s="967"/>
      <c r="N649" s="967"/>
      <c r="O649" s="1007"/>
      <c r="P649" s="1007"/>
      <c r="Q649" s="1008"/>
    </row>
    <row r="650" spans="1:17" hidden="1">
      <c r="A650" s="966"/>
      <c r="B650" s="967"/>
      <c r="C650" s="967">
        <v>605</v>
      </c>
      <c r="D650" s="967"/>
      <c r="E650" s="968"/>
      <c r="F650" s="968"/>
      <c r="G650" s="968"/>
      <c r="H650" s="968"/>
      <c r="I650" s="968"/>
      <c r="J650" s="968"/>
      <c r="K650" s="967"/>
      <c r="L650" s="967"/>
      <c r="M650" s="967"/>
      <c r="N650" s="967"/>
      <c r="O650" s="1007"/>
      <c r="P650" s="1007"/>
      <c r="Q650" s="1008"/>
    </row>
    <row r="651" spans="1:17" hidden="1">
      <c r="A651" s="966"/>
      <c r="B651" s="967"/>
      <c r="C651" s="967">
        <v>606</v>
      </c>
      <c r="D651" s="967"/>
      <c r="E651" s="968"/>
      <c r="F651" s="968"/>
      <c r="G651" s="968"/>
      <c r="H651" s="968"/>
      <c r="I651" s="968"/>
      <c r="J651" s="968"/>
      <c r="K651" s="967"/>
      <c r="L651" s="967"/>
      <c r="M651" s="967"/>
      <c r="N651" s="967"/>
      <c r="O651" s="1007"/>
      <c r="P651" s="1007"/>
      <c r="Q651" s="1008"/>
    </row>
    <row r="652" spans="1:17" hidden="1">
      <c r="A652" s="966"/>
      <c r="B652" s="967"/>
      <c r="C652" s="967">
        <v>607</v>
      </c>
      <c r="D652" s="967"/>
      <c r="E652" s="968"/>
      <c r="F652" s="968"/>
      <c r="G652" s="968"/>
      <c r="H652" s="968"/>
      <c r="I652" s="968"/>
      <c r="J652" s="968"/>
      <c r="K652" s="967"/>
      <c r="L652" s="967"/>
      <c r="M652" s="967"/>
      <c r="N652" s="967"/>
      <c r="O652" s="1007"/>
      <c r="P652" s="1007"/>
      <c r="Q652" s="1008"/>
    </row>
    <row r="653" spans="1:17" hidden="1">
      <c r="A653" s="966"/>
      <c r="B653" s="967"/>
      <c r="C653" s="967">
        <v>608</v>
      </c>
      <c r="D653" s="967"/>
      <c r="E653" s="968"/>
      <c r="F653" s="968"/>
      <c r="G653" s="968"/>
      <c r="H653" s="968"/>
      <c r="I653" s="968"/>
      <c r="J653" s="968"/>
      <c r="K653" s="967"/>
      <c r="L653" s="967"/>
      <c r="M653" s="967"/>
      <c r="N653" s="967"/>
      <c r="O653" s="1007"/>
      <c r="P653" s="1007"/>
      <c r="Q653" s="1008"/>
    </row>
    <row r="654" spans="1:17" hidden="1">
      <c r="A654" s="966"/>
      <c r="B654" s="967"/>
      <c r="C654" s="967">
        <v>609</v>
      </c>
      <c r="D654" s="967"/>
      <c r="E654" s="968"/>
      <c r="F654" s="968"/>
      <c r="G654" s="968"/>
      <c r="H654" s="968"/>
      <c r="I654" s="968"/>
      <c r="J654" s="968"/>
      <c r="K654" s="967"/>
      <c r="L654" s="967"/>
      <c r="M654" s="967"/>
      <c r="N654" s="967"/>
      <c r="O654" s="1007"/>
      <c r="P654" s="1007"/>
      <c r="Q654" s="1008"/>
    </row>
    <row r="655" spans="1:17" hidden="1">
      <c r="A655" s="966"/>
      <c r="B655" s="967"/>
      <c r="C655" s="967">
        <v>610</v>
      </c>
      <c r="D655" s="967"/>
      <c r="E655" s="968"/>
      <c r="F655" s="968"/>
      <c r="G655" s="968"/>
      <c r="H655" s="968"/>
      <c r="I655" s="968"/>
      <c r="J655" s="968"/>
      <c r="K655" s="967"/>
      <c r="L655" s="967"/>
      <c r="M655" s="967"/>
      <c r="N655" s="967"/>
      <c r="O655" s="1007"/>
      <c r="P655" s="1007"/>
      <c r="Q655" s="1008"/>
    </row>
    <row r="656" spans="1:17" hidden="1">
      <c r="A656" s="966"/>
      <c r="B656" s="967"/>
      <c r="C656" s="967">
        <v>611</v>
      </c>
      <c r="D656" s="967"/>
      <c r="E656" s="968"/>
      <c r="F656" s="968"/>
      <c r="G656" s="968"/>
      <c r="H656" s="968"/>
      <c r="I656" s="968"/>
      <c r="J656" s="968"/>
      <c r="K656" s="967"/>
      <c r="L656" s="967"/>
      <c r="M656" s="967"/>
      <c r="N656" s="967"/>
      <c r="O656" s="1007"/>
      <c r="P656" s="1007"/>
      <c r="Q656" s="1008"/>
    </row>
    <row r="657" spans="1:17" hidden="1">
      <c r="A657" s="966"/>
      <c r="B657" s="967"/>
      <c r="C657" s="967">
        <v>612</v>
      </c>
      <c r="D657" s="967"/>
      <c r="E657" s="968"/>
      <c r="F657" s="968"/>
      <c r="G657" s="968"/>
      <c r="H657" s="968"/>
      <c r="I657" s="968"/>
      <c r="J657" s="968"/>
      <c r="K657" s="967"/>
      <c r="L657" s="967"/>
      <c r="M657" s="967"/>
      <c r="N657" s="967"/>
      <c r="O657" s="1007"/>
      <c r="P657" s="1007"/>
      <c r="Q657" s="1008"/>
    </row>
    <row r="658" spans="1:17" hidden="1">
      <c r="A658" s="966"/>
      <c r="B658" s="967"/>
      <c r="C658" s="967">
        <v>613</v>
      </c>
      <c r="D658" s="967"/>
      <c r="E658" s="968"/>
      <c r="F658" s="968"/>
      <c r="G658" s="968"/>
      <c r="H658" s="968"/>
      <c r="I658" s="968"/>
      <c r="J658" s="968"/>
      <c r="K658" s="967"/>
      <c r="L658" s="967"/>
      <c r="M658" s="967"/>
      <c r="N658" s="967"/>
      <c r="O658" s="1007"/>
      <c r="P658" s="1007"/>
      <c r="Q658" s="1008"/>
    </row>
    <row r="659" spans="1:17" hidden="1">
      <c r="A659" s="966"/>
      <c r="B659" s="967"/>
      <c r="C659" s="967">
        <v>614</v>
      </c>
      <c r="D659" s="967"/>
      <c r="E659" s="968"/>
      <c r="F659" s="968"/>
      <c r="G659" s="968"/>
      <c r="H659" s="968"/>
      <c r="I659" s="968"/>
      <c r="J659" s="968"/>
      <c r="K659" s="967"/>
      <c r="L659" s="967"/>
      <c r="M659" s="967"/>
      <c r="N659" s="967"/>
      <c r="O659" s="1007"/>
      <c r="P659" s="1007"/>
      <c r="Q659" s="1008"/>
    </row>
    <row r="660" spans="1:17" hidden="1">
      <c r="A660" s="966"/>
      <c r="B660" s="967"/>
      <c r="C660" s="967">
        <v>615</v>
      </c>
      <c r="D660" s="967"/>
      <c r="E660" s="968"/>
      <c r="F660" s="968"/>
      <c r="G660" s="968"/>
      <c r="H660" s="968"/>
      <c r="I660" s="968"/>
      <c r="J660" s="968"/>
      <c r="K660" s="967"/>
      <c r="L660" s="967"/>
      <c r="M660" s="967"/>
      <c r="N660" s="967"/>
      <c r="O660" s="1007"/>
      <c r="P660" s="1007"/>
      <c r="Q660" s="1008"/>
    </row>
    <row r="661" spans="1:17" hidden="1">
      <c r="A661" s="966"/>
      <c r="B661" s="967"/>
      <c r="C661" s="967">
        <v>616</v>
      </c>
      <c r="D661" s="967"/>
      <c r="E661" s="968"/>
      <c r="F661" s="968"/>
      <c r="G661" s="968"/>
      <c r="H661" s="968"/>
      <c r="I661" s="968"/>
      <c r="J661" s="968"/>
      <c r="K661" s="967"/>
      <c r="L661" s="967"/>
      <c r="M661" s="967"/>
      <c r="N661" s="967"/>
      <c r="O661" s="1007"/>
      <c r="P661" s="1007"/>
      <c r="Q661" s="1008"/>
    </row>
    <row r="662" spans="1:17" hidden="1">
      <c r="A662" s="966"/>
      <c r="B662" s="967"/>
      <c r="C662" s="967">
        <v>617</v>
      </c>
      <c r="D662" s="967"/>
      <c r="E662" s="968"/>
      <c r="F662" s="968"/>
      <c r="G662" s="968"/>
      <c r="H662" s="968"/>
      <c r="I662" s="968"/>
      <c r="J662" s="968"/>
      <c r="K662" s="967"/>
      <c r="L662" s="967"/>
      <c r="M662" s="967"/>
      <c r="N662" s="967"/>
      <c r="O662" s="1007"/>
      <c r="P662" s="1007"/>
      <c r="Q662" s="1008"/>
    </row>
    <row r="663" spans="1:17" hidden="1">
      <c r="A663" s="966"/>
      <c r="B663" s="967"/>
      <c r="C663" s="967">
        <v>618</v>
      </c>
      <c r="D663" s="967"/>
      <c r="E663" s="968"/>
      <c r="F663" s="968"/>
      <c r="G663" s="968"/>
      <c r="H663" s="968"/>
      <c r="I663" s="968"/>
      <c r="J663" s="968"/>
      <c r="K663" s="967"/>
      <c r="L663" s="967"/>
      <c r="M663" s="967"/>
      <c r="N663" s="967"/>
      <c r="O663" s="1007"/>
      <c r="P663" s="1007"/>
      <c r="Q663" s="1008"/>
    </row>
    <row r="664" spans="1:17" hidden="1">
      <c r="A664" s="966"/>
      <c r="B664" s="967"/>
      <c r="C664" s="967">
        <v>619</v>
      </c>
      <c r="D664" s="967"/>
      <c r="E664" s="968"/>
      <c r="F664" s="968"/>
      <c r="G664" s="968"/>
      <c r="H664" s="968"/>
      <c r="I664" s="968"/>
      <c r="J664" s="968"/>
      <c r="K664" s="967"/>
      <c r="L664" s="967"/>
      <c r="M664" s="967"/>
      <c r="N664" s="967"/>
      <c r="O664" s="1007"/>
      <c r="P664" s="1007"/>
      <c r="Q664" s="1008"/>
    </row>
    <row r="665" spans="1:17" hidden="1">
      <c r="A665" s="966"/>
      <c r="B665" s="967"/>
      <c r="C665" s="967">
        <v>620</v>
      </c>
      <c r="D665" s="967"/>
      <c r="E665" s="968"/>
      <c r="F665" s="968"/>
      <c r="G665" s="968"/>
      <c r="H665" s="968"/>
      <c r="I665" s="968"/>
      <c r="J665" s="968"/>
      <c r="K665" s="967"/>
      <c r="L665" s="967"/>
      <c r="M665" s="967"/>
      <c r="N665" s="967"/>
      <c r="O665" s="1007"/>
      <c r="P665" s="1007"/>
      <c r="Q665" s="1008"/>
    </row>
    <row r="666" spans="1:17" hidden="1">
      <c r="A666" s="966"/>
      <c r="B666" s="967"/>
      <c r="C666" s="967">
        <v>621</v>
      </c>
      <c r="D666" s="967"/>
      <c r="E666" s="968"/>
      <c r="F666" s="968"/>
      <c r="G666" s="968"/>
      <c r="H666" s="968"/>
      <c r="I666" s="968"/>
      <c r="J666" s="968"/>
      <c r="K666" s="967"/>
      <c r="L666" s="967"/>
      <c r="M666" s="967"/>
      <c r="N666" s="967"/>
      <c r="O666" s="1007"/>
      <c r="P666" s="1007"/>
      <c r="Q666" s="1008"/>
    </row>
    <row r="667" spans="1:17" hidden="1">
      <c r="A667" s="966"/>
      <c r="B667" s="967"/>
      <c r="C667" s="967">
        <v>622</v>
      </c>
      <c r="D667" s="967"/>
      <c r="E667" s="968"/>
      <c r="F667" s="968"/>
      <c r="G667" s="968"/>
      <c r="H667" s="968"/>
      <c r="I667" s="968"/>
      <c r="J667" s="968"/>
      <c r="K667" s="967"/>
      <c r="L667" s="967"/>
      <c r="M667" s="967"/>
      <c r="N667" s="967"/>
      <c r="O667" s="1007"/>
      <c r="P667" s="1007"/>
      <c r="Q667" s="1008"/>
    </row>
    <row r="668" spans="1:17" hidden="1">
      <c r="A668" s="966"/>
      <c r="B668" s="967"/>
      <c r="C668" s="967">
        <v>623</v>
      </c>
      <c r="D668" s="967"/>
      <c r="E668" s="968"/>
      <c r="F668" s="968"/>
      <c r="G668" s="968"/>
      <c r="H668" s="968"/>
      <c r="I668" s="968"/>
      <c r="J668" s="968"/>
      <c r="K668" s="967"/>
      <c r="L668" s="967"/>
      <c r="M668" s="967"/>
      <c r="N668" s="967"/>
      <c r="O668" s="1007"/>
      <c r="P668" s="1007"/>
      <c r="Q668" s="1008"/>
    </row>
    <row r="669" spans="1:17" hidden="1">
      <c r="A669" s="966"/>
      <c r="B669" s="967"/>
      <c r="C669" s="967">
        <v>624</v>
      </c>
      <c r="D669" s="967"/>
      <c r="E669" s="968"/>
      <c r="F669" s="968"/>
      <c r="G669" s="968"/>
      <c r="H669" s="968"/>
      <c r="I669" s="968"/>
      <c r="J669" s="968"/>
      <c r="K669" s="967"/>
      <c r="L669" s="967"/>
      <c r="M669" s="967"/>
      <c r="N669" s="967"/>
      <c r="O669" s="1007"/>
      <c r="P669" s="1007"/>
      <c r="Q669" s="1008"/>
    </row>
    <row r="670" spans="1:17" hidden="1">
      <c r="A670" s="966"/>
      <c r="B670" s="967"/>
      <c r="C670" s="967">
        <v>625</v>
      </c>
      <c r="D670" s="967"/>
      <c r="E670" s="968"/>
      <c r="F670" s="968"/>
      <c r="G670" s="968"/>
      <c r="H670" s="968"/>
      <c r="I670" s="968"/>
      <c r="J670" s="968"/>
      <c r="K670" s="967"/>
      <c r="L670" s="967"/>
      <c r="M670" s="967"/>
      <c r="N670" s="967"/>
      <c r="O670" s="1007"/>
      <c r="P670" s="1007"/>
      <c r="Q670" s="1008"/>
    </row>
    <row r="671" spans="1:17" hidden="1">
      <c r="A671" s="966"/>
      <c r="B671" s="967"/>
      <c r="C671" s="967">
        <v>626</v>
      </c>
      <c r="D671" s="967"/>
      <c r="E671" s="968"/>
      <c r="F671" s="968"/>
      <c r="G671" s="968"/>
      <c r="H671" s="968"/>
      <c r="I671" s="968"/>
      <c r="J671" s="968"/>
      <c r="K671" s="967"/>
      <c r="L671" s="967"/>
      <c r="M671" s="967"/>
      <c r="N671" s="967"/>
      <c r="O671" s="1007"/>
      <c r="P671" s="1007"/>
      <c r="Q671" s="1008"/>
    </row>
    <row r="672" spans="1:17" hidden="1">
      <c r="A672" s="966"/>
      <c r="B672" s="967"/>
      <c r="C672" s="967">
        <v>627</v>
      </c>
      <c r="D672" s="967"/>
      <c r="E672" s="968"/>
      <c r="F672" s="968"/>
      <c r="G672" s="968"/>
      <c r="H672" s="968"/>
      <c r="I672" s="968"/>
      <c r="J672" s="968"/>
      <c r="K672" s="967"/>
      <c r="L672" s="967"/>
      <c r="M672" s="967"/>
      <c r="N672" s="967"/>
      <c r="O672" s="1007"/>
      <c r="P672" s="1007"/>
      <c r="Q672" s="1008"/>
    </row>
    <row r="673" spans="1:17" hidden="1">
      <c r="A673" s="966"/>
      <c r="B673" s="967"/>
      <c r="C673" s="967">
        <v>628</v>
      </c>
      <c r="D673" s="967"/>
      <c r="E673" s="968"/>
      <c r="F673" s="968"/>
      <c r="G673" s="968"/>
      <c r="H673" s="968"/>
      <c r="I673" s="968"/>
      <c r="J673" s="968"/>
      <c r="K673" s="967"/>
      <c r="L673" s="967"/>
      <c r="M673" s="967"/>
      <c r="N673" s="967"/>
      <c r="O673" s="1007"/>
      <c r="P673" s="1007"/>
      <c r="Q673" s="1008"/>
    </row>
    <row r="674" spans="1:17" hidden="1">
      <c r="A674" s="966"/>
      <c r="B674" s="967"/>
      <c r="C674" s="967">
        <v>629</v>
      </c>
      <c r="D674" s="967"/>
      <c r="E674" s="968"/>
      <c r="F674" s="968"/>
      <c r="G674" s="968"/>
      <c r="H674" s="968"/>
      <c r="I674" s="968"/>
      <c r="J674" s="968"/>
      <c r="K674" s="967"/>
      <c r="L674" s="967"/>
      <c r="M674" s="967"/>
      <c r="N674" s="967"/>
      <c r="O674" s="1007"/>
      <c r="P674" s="1007"/>
      <c r="Q674" s="1008"/>
    </row>
    <row r="675" spans="1:17" hidden="1">
      <c r="A675" s="966"/>
      <c r="B675" s="967"/>
      <c r="C675" s="967">
        <v>630</v>
      </c>
      <c r="D675" s="967"/>
      <c r="E675" s="968"/>
      <c r="F675" s="968"/>
      <c r="G675" s="968"/>
      <c r="H675" s="968"/>
      <c r="I675" s="968"/>
      <c r="J675" s="968"/>
      <c r="K675" s="967"/>
      <c r="L675" s="967"/>
      <c r="M675" s="967"/>
      <c r="N675" s="967"/>
      <c r="O675" s="1007"/>
      <c r="P675" s="1007"/>
      <c r="Q675" s="1008"/>
    </row>
    <row r="676" spans="1:17" hidden="1">
      <c r="A676" s="966"/>
      <c r="B676" s="967"/>
      <c r="C676" s="967">
        <v>631</v>
      </c>
      <c r="D676" s="967"/>
      <c r="E676" s="968"/>
      <c r="F676" s="968"/>
      <c r="G676" s="968"/>
      <c r="H676" s="968"/>
      <c r="I676" s="968"/>
      <c r="J676" s="968"/>
      <c r="K676" s="967"/>
      <c r="L676" s="967"/>
      <c r="M676" s="967"/>
      <c r="N676" s="967"/>
      <c r="O676" s="1007"/>
      <c r="P676" s="1007"/>
      <c r="Q676" s="1008"/>
    </row>
    <row r="677" spans="1:17" hidden="1">
      <c r="A677" s="966"/>
      <c r="B677" s="967"/>
      <c r="C677" s="967">
        <v>632</v>
      </c>
      <c r="D677" s="967"/>
      <c r="E677" s="968"/>
      <c r="F677" s="968"/>
      <c r="G677" s="968"/>
      <c r="H677" s="968"/>
      <c r="I677" s="968"/>
      <c r="J677" s="968"/>
      <c r="K677" s="967"/>
      <c r="L677" s="967"/>
      <c r="M677" s="967"/>
      <c r="N677" s="967"/>
      <c r="O677" s="1007"/>
      <c r="P677" s="1007"/>
      <c r="Q677" s="1008"/>
    </row>
    <row r="678" spans="1:17" hidden="1">
      <c r="A678" s="966"/>
      <c r="B678" s="967"/>
      <c r="C678" s="967">
        <v>633</v>
      </c>
      <c r="D678" s="967"/>
      <c r="E678" s="968"/>
      <c r="F678" s="968"/>
      <c r="G678" s="968"/>
      <c r="H678" s="968"/>
      <c r="I678" s="968"/>
      <c r="J678" s="968"/>
      <c r="K678" s="967"/>
      <c r="L678" s="967"/>
      <c r="M678" s="967"/>
      <c r="N678" s="967"/>
      <c r="O678" s="1007"/>
      <c r="P678" s="1007"/>
      <c r="Q678" s="1008"/>
    </row>
    <row r="679" spans="1:17" hidden="1">
      <c r="A679" s="966"/>
      <c r="B679" s="967"/>
      <c r="C679" s="967">
        <v>634</v>
      </c>
      <c r="D679" s="967"/>
      <c r="E679" s="968"/>
      <c r="F679" s="968"/>
      <c r="G679" s="968"/>
      <c r="H679" s="968"/>
      <c r="I679" s="968"/>
      <c r="J679" s="968"/>
      <c r="K679" s="967"/>
      <c r="L679" s="967"/>
      <c r="M679" s="967"/>
      <c r="N679" s="967"/>
      <c r="O679" s="1007"/>
      <c r="P679" s="1007"/>
      <c r="Q679" s="1008"/>
    </row>
    <row r="680" spans="1:17" hidden="1">
      <c r="A680" s="966"/>
      <c r="B680" s="967"/>
      <c r="C680" s="967">
        <v>635</v>
      </c>
      <c r="D680" s="967"/>
      <c r="E680" s="968"/>
      <c r="F680" s="968"/>
      <c r="G680" s="968"/>
      <c r="H680" s="968"/>
      <c r="I680" s="968"/>
      <c r="J680" s="968"/>
      <c r="K680" s="967"/>
      <c r="L680" s="967"/>
      <c r="M680" s="967"/>
      <c r="N680" s="967"/>
      <c r="O680" s="1007"/>
      <c r="P680" s="1007"/>
      <c r="Q680" s="1008"/>
    </row>
    <row r="681" spans="1:17" hidden="1">
      <c r="A681" s="966"/>
      <c r="B681" s="967"/>
      <c r="C681" s="967">
        <v>636</v>
      </c>
      <c r="D681" s="967"/>
      <c r="E681" s="968"/>
      <c r="F681" s="968"/>
      <c r="G681" s="968"/>
      <c r="H681" s="968"/>
      <c r="I681" s="968"/>
      <c r="J681" s="968"/>
      <c r="K681" s="967"/>
      <c r="L681" s="967"/>
      <c r="M681" s="967"/>
      <c r="N681" s="967"/>
      <c r="O681" s="1007"/>
      <c r="P681" s="1007"/>
      <c r="Q681" s="1008"/>
    </row>
    <row r="682" spans="1:17" hidden="1">
      <c r="A682" s="966"/>
      <c r="B682" s="967"/>
      <c r="C682" s="967">
        <v>637</v>
      </c>
      <c r="D682" s="967"/>
      <c r="E682" s="968"/>
      <c r="F682" s="968"/>
      <c r="G682" s="968"/>
      <c r="H682" s="968"/>
      <c r="I682" s="968"/>
      <c r="J682" s="968"/>
      <c r="K682" s="967"/>
      <c r="L682" s="967"/>
      <c r="M682" s="967"/>
      <c r="N682" s="967"/>
      <c r="O682" s="1007"/>
      <c r="P682" s="1007"/>
      <c r="Q682" s="1008"/>
    </row>
    <row r="683" spans="1:17" hidden="1">
      <c r="A683" s="966"/>
      <c r="B683" s="967"/>
      <c r="C683" s="967">
        <v>638</v>
      </c>
      <c r="D683" s="967"/>
      <c r="E683" s="968"/>
      <c r="F683" s="968"/>
      <c r="G683" s="968"/>
      <c r="H683" s="968"/>
      <c r="I683" s="968"/>
      <c r="J683" s="968"/>
      <c r="K683" s="967"/>
      <c r="L683" s="967"/>
      <c r="M683" s="967"/>
      <c r="N683" s="967"/>
      <c r="O683" s="1007"/>
      <c r="P683" s="1007"/>
      <c r="Q683" s="1008"/>
    </row>
    <row r="684" spans="1:17" hidden="1">
      <c r="A684" s="966"/>
      <c r="B684" s="967"/>
      <c r="C684" s="967">
        <v>639</v>
      </c>
      <c r="D684" s="967"/>
      <c r="E684" s="968"/>
      <c r="F684" s="968"/>
      <c r="G684" s="968"/>
      <c r="H684" s="968"/>
      <c r="I684" s="968"/>
      <c r="J684" s="968"/>
      <c r="K684" s="967"/>
      <c r="L684" s="967"/>
      <c r="M684" s="967"/>
      <c r="N684" s="967"/>
      <c r="O684" s="1007"/>
      <c r="P684" s="1007"/>
      <c r="Q684" s="1008"/>
    </row>
    <row r="685" spans="1:17" hidden="1">
      <c r="A685" s="966"/>
      <c r="B685" s="967"/>
      <c r="C685" s="967">
        <v>640</v>
      </c>
      <c r="D685" s="967"/>
      <c r="E685" s="968"/>
      <c r="F685" s="968"/>
      <c r="G685" s="968"/>
      <c r="H685" s="968"/>
      <c r="I685" s="968"/>
      <c r="J685" s="968"/>
      <c r="K685" s="967"/>
      <c r="L685" s="967"/>
      <c r="M685" s="967"/>
      <c r="N685" s="967"/>
      <c r="O685" s="1007"/>
      <c r="P685" s="1007"/>
      <c r="Q685" s="1008"/>
    </row>
    <row r="686" spans="1:17" hidden="1">
      <c r="A686" s="966"/>
      <c r="B686" s="967"/>
      <c r="C686" s="967">
        <v>641</v>
      </c>
      <c r="D686" s="967"/>
      <c r="E686" s="968"/>
      <c r="F686" s="968"/>
      <c r="G686" s="968"/>
      <c r="H686" s="968"/>
      <c r="I686" s="968"/>
      <c r="J686" s="968"/>
      <c r="K686" s="967"/>
      <c r="L686" s="967"/>
      <c r="M686" s="967"/>
      <c r="N686" s="967"/>
      <c r="O686" s="1007"/>
      <c r="P686" s="1007"/>
      <c r="Q686" s="1008"/>
    </row>
    <row r="687" spans="1:17" hidden="1">
      <c r="A687" s="966"/>
      <c r="B687" s="967"/>
      <c r="C687" s="967">
        <v>642</v>
      </c>
      <c r="D687" s="967"/>
      <c r="E687" s="968"/>
      <c r="F687" s="968"/>
      <c r="G687" s="968"/>
      <c r="H687" s="968"/>
      <c r="I687" s="968"/>
      <c r="J687" s="968"/>
      <c r="K687" s="967"/>
      <c r="L687" s="967"/>
      <c r="M687" s="967"/>
      <c r="N687" s="967"/>
      <c r="O687" s="1007"/>
      <c r="P687" s="1007"/>
      <c r="Q687" s="1008"/>
    </row>
    <row r="688" spans="1:17" hidden="1">
      <c r="A688" s="966"/>
      <c r="B688" s="967"/>
      <c r="C688" s="967">
        <v>643</v>
      </c>
      <c r="D688" s="967"/>
      <c r="E688" s="968"/>
      <c r="F688" s="968"/>
      <c r="G688" s="968"/>
      <c r="H688" s="968"/>
      <c r="I688" s="968"/>
      <c r="J688" s="968"/>
      <c r="K688" s="967"/>
      <c r="L688" s="967"/>
      <c r="M688" s="967"/>
      <c r="N688" s="967"/>
      <c r="O688" s="1007"/>
      <c r="P688" s="1007"/>
      <c r="Q688" s="1008"/>
    </row>
    <row r="689" spans="1:17" hidden="1">
      <c r="A689" s="966"/>
      <c r="B689" s="967"/>
      <c r="C689" s="967">
        <v>644</v>
      </c>
      <c r="D689" s="967"/>
      <c r="E689" s="968"/>
      <c r="F689" s="968"/>
      <c r="G689" s="968"/>
      <c r="H689" s="968"/>
      <c r="I689" s="968"/>
      <c r="J689" s="968"/>
      <c r="K689" s="967"/>
      <c r="L689" s="967"/>
      <c r="M689" s="967"/>
      <c r="N689" s="967"/>
      <c r="O689" s="1007"/>
      <c r="P689" s="1007"/>
      <c r="Q689" s="1008"/>
    </row>
    <row r="690" spans="1:17" hidden="1">
      <c r="A690" s="966"/>
      <c r="B690" s="967"/>
      <c r="C690" s="967">
        <v>645</v>
      </c>
      <c r="D690" s="967"/>
      <c r="E690" s="968"/>
      <c r="F690" s="968"/>
      <c r="G690" s="968"/>
      <c r="H690" s="968"/>
      <c r="I690" s="968"/>
      <c r="J690" s="968"/>
      <c r="K690" s="967"/>
      <c r="L690" s="967"/>
      <c r="M690" s="967"/>
      <c r="N690" s="967"/>
      <c r="O690" s="1007"/>
      <c r="P690" s="1007"/>
      <c r="Q690" s="1008"/>
    </row>
    <row r="691" spans="1:17" hidden="1">
      <c r="A691" s="966"/>
      <c r="B691" s="967"/>
      <c r="C691" s="967">
        <v>646</v>
      </c>
      <c r="D691" s="967"/>
      <c r="E691" s="968"/>
      <c r="F691" s="968"/>
      <c r="G691" s="968"/>
      <c r="H691" s="968"/>
      <c r="I691" s="968"/>
      <c r="J691" s="968"/>
      <c r="K691" s="967"/>
      <c r="L691" s="967"/>
      <c r="M691" s="967"/>
      <c r="N691" s="967"/>
      <c r="O691" s="1007"/>
      <c r="P691" s="1007"/>
      <c r="Q691" s="1008"/>
    </row>
    <row r="692" spans="1:17" hidden="1">
      <c r="A692" s="966"/>
      <c r="B692" s="967"/>
      <c r="C692" s="967">
        <v>647</v>
      </c>
      <c r="D692" s="967"/>
      <c r="E692" s="968"/>
      <c r="F692" s="968"/>
      <c r="G692" s="968"/>
      <c r="H692" s="968"/>
      <c r="I692" s="968"/>
      <c r="J692" s="968"/>
      <c r="K692" s="967"/>
      <c r="L692" s="967"/>
      <c r="M692" s="967"/>
      <c r="N692" s="967"/>
      <c r="O692" s="1007"/>
      <c r="P692" s="1007"/>
      <c r="Q692" s="1008"/>
    </row>
    <row r="693" spans="1:17" hidden="1">
      <c r="A693" s="966"/>
      <c r="B693" s="967"/>
      <c r="C693" s="967">
        <v>648</v>
      </c>
      <c r="D693" s="967"/>
      <c r="E693" s="968"/>
      <c r="F693" s="968"/>
      <c r="G693" s="968"/>
      <c r="H693" s="968"/>
      <c r="I693" s="968"/>
      <c r="J693" s="968"/>
      <c r="K693" s="967"/>
      <c r="L693" s="967"/>
      <c r="M693" s="967"/>
      <c r="N693" s="967"/>
      <c r="O693" s="1007"/>
      <c r="P693" s="1007"/>
      <c r="Q693" s="1008"/>
    </row>
    <row r="694" spans="1:17" hidden="1">
      <c r="A694" s="966"/>
      <c r="B694" s="967"/>
      <c r="C694" s="967">
        <v>649</v>
      </c>
      <c r="D694" s="967"/>
      <c r="E694" s="968"/>
      <c r="F694" s="968"/>
      <c r="G694" s="968"/>
      <c r="H694" s="968"/>
      <c r="I694" s="968"/>
      <c r="J694" s="968"/>
      <c r="K694" s="967"/>
      <c r="L694" s="967"/>
      <c r="M694" s="967"/>
      <c r="N694" s="967"/>
      <c r="O694" s="1007"/>
      <c r="P694" s="1007"/>
      <c r="Q694" s="1008"/>
    </row>
    <row r="695" spans="1:17" hidden="1">
      <c r="A695" s="966"/>
      <c r="B695" s="967"/>
      <c r="C695" s="967">
        <v>650</v>
      </c>
      <c r="D695" s="967"/>
      <c r="E695" s="968"/>
      <c r="F695" s="968"/>
      <c r="G695" s="968"/>
      <c r="H695" s="968"/>
      <c r="I695" s="968"/>
      <c r="J695" s="968"/>
      <c r="K695" s="967"/>
      <c r="L695" s="967"/>
      <c r="M695" s="967"/>
      <c r="N695" s="967"/>
      <c r="O695" s="1007"/>
      <c r="P695" s="1007"/>
      <c r="Q695" s="1008"/>
    </row>
    <row r="696" spans="1:17" hidden="1">
      <c r="A696" s="966"/>
      <c r="B696" s="967"/>
      <c r="C696" s="967">
        <v>651</v>
      </c>
      <c r="D696" s="967"/>
      <c r="E696" s="968"/>
      <c r="F696" s="968"/>
      <c r="G696" s="968"/>
      <c r="H696" s="968"/>
      <c r="I696" s="968"/>
      <c r="J696" s="968"/>
      <c r="K696" s="967"/>
      <c r="L696" s="967"/>
      <c r="M696" s="967"/>
      <c r="N696" s="967"/>
      <c r="O696" s="1007"/>
      <c r="P696" s="1007"/>
      <c r="Q696" s="1008"/>
    </row>
    <row r="697" spans="1:17" hidden="1">
      <c r="A697" s="966"/>
      <c r="B697" s="967"/>
      <c r="C697" s="967">
        <v>652</v>
      </c>
      <c r="D697" s="967"/>
      <c r="E697" s="968"/>
      <c r="F697" s="968"/>
      <c r="G697" s="968"/>
      <c r="H697" s="968"/>
      <c r="I697" s="968"/>
      <c r="J697" s="968"/>
      <c r="K697" s="967"/>
      <c r="L697" s="967"/>
      <c r="M697" s="967"/>
      <c r="N697" s="967"/>
      <c r="O697" s="1007"/>
      <c r="P697" s="1007"/>
      <c r="Q697" s="1008"/>
    </row>
    <row r="698" spans="1:17" hidden="1">
      <c r="A698" s="966"/>
      <c r="B698" s="967"/>
      <c r="C698" s="967">
        <v>653</v>
      </c>
      <c r="D698" s="967"/>
      <c r="E698" s="968"/>
      <c r="F698" s="968"/>
      <c r="G698" s="968"/>
      <c r="H698" s="968"/>
      <c r="I698" s="968"/>
      <c r="J698" s="968"/>
      <c r="K698" s="967"/>
      <c r="L698" s="967"/>
      <c r="M698" s="967"/>
      <c r="N698" s="967"/>
      <c r="O698" s="1007"/>
      <c r="P698" s="1007"/>
      <c r="Q698" s="1008"/>
    </row>
    <row r="699" spans="1:17" hidden="1">
      <c r="A699" s="966"/>
      <c r="B699" s="967"/>
      <c r="C699" s="967">
        <v>654</v>
      </c>
      <c r="D699" s="967"/>
      <c r="E699" s="968"/>
      <c r="F699" s="968"/>
      <c r="G699" s="968"/>
      <c r="H699" s="968"/>
      <c r="I699" s="968"/>
      <c r="J699" s="968"/>
      <c r="K699" s="967"/>
      <c r="L699" s="967"/>
      <c r="M699" s="967"/>
      <c r="N699" s="967"/>
      <c r="O699" s="1007"/>
      <c r="P699" s="1007"/>
      <c r="Q699" s="1008"/>
    </row>
    <row r="700" spans="1:17" hidden="1">
      <c r="A700" s="966"/>
      <c r="B700" s="967"/>
      <c r="C700" s="967">
        <v>655</v>
      </c>
      <c r="D700" s="967"/>
      <c r="E700" s="968"/>
      <c r="F700" s="968"/>
      <c r="G700" s="968"/>
      <c r="H700" s="968"/>
      <c r="I700" s="968"/>
      <c r="J700" s="968"/>
      <c r="K700" s="967"/>
      <c r="L700" s="967"/>
      <c r="M700" s="967"/>
      <c r="N700" s="967"/>
      <c r="O700" s="1007"/>
      <c r="P700" s="1007"/>
      <c r="Q700" s="1008"/>
    </row>
    <row r="701" spans="1:17" hidden="1">
      <c r="A701" s="966"/>
      <c r="B701" s="967"/>
      <c r="C701" s="967">
        <v>656</v>
      </c>
      <c r="D701" s="967"/>
      <c r="E701" s="968"/>
      <c r="F701" s="968"/>
      <c r="G701" s="968"/>
      <c r="H701" s="968"/>
      <c r="I701" s="968"/>
      <c r="J701" s="968"/>
      <c r="K701" s="967"/>
      <c r="L701" s="967"/>
      <c r="M701" s="967"/>
      <c r="N701" s="967"/>
      <c r="O701" s="1007"/>
      <c r="P701" s="1007"/>
      <c r="Q701" s="1008"/>
    </row>
    <row r="702" spans="1:17" hidden="1">
      <c r="A702" s="966"/>
      <c r="B702" s="967"/>
      <c r="C702" s="967">
        <v>657</v>
      </c>
      <c r="D702" s="967"/>
      <c r="E702" s="968"/>
      <c r="F702" s="968"/>
      <c r="G702" s="968"/>
      <c r="H702" s="968"/>
      <c r="I702" s="968"/>
      <c r="J702" s="968"/>
      <c r="K702" s="967"/>
      <c r="L702" s="967"/>
      <c r="M702" s="967"/>
      <c r="N702" s="967"/>
      <c r="O702" s="1007"/>
      <c r="P702" s="1007"/>
      <c r="Q702" s="1008"/>
    </row>
    <row r="703" spans="1:17" hidden="1">
      <c r="A703" s="966"/>
      <c r="B703" s="967"/>
      <c r="C703" s="967">
        <v>658</v>
      </c>
      <c r="D703" s="967"/>
      <c r="E703" s="968"/>
      <c r="F703" s="968"/>
      <c r="G703" s="968"/>
      <c r="H703" s="968"/>
      <c r="I703" s="968"/>
      <c r="J703" s="968"/>
      <c r="K703" s="967"/>
      <c r="L703" s="967"/>
      <c r="M703" s="967"/>
      <c r="N703" s="967"/>
      <c r="O703" s="1007"/>
      <c r="P703" s="1007"/>
      <c r="Q703" s="1008"/>
    </row>
    <row r="704" spans="1:17" hidden="1">
      <c r="A704" s="966"/>
      <c r="B704" s="967"/>
      <c r="C704" s="967">
        <v>659</v>
      </c>
      <c r="D704" s="967"/>
      <c r="E704" s="968"/>
      <c r="F704" s="968"/>
      <c r="G704" s="968"/>
      <c r="H704" s="968"/>
      <c r="I704" s="968"/>
      <c r="J704" s="968"/>
      <c r="K704" s="967"/>
      <c r="L704" s="967"/>
      <c r="M704" s="967"/>
      <c r="N704" s="967"/>
      <c r="O704" s="1007"/>
      <c r="P704" s="1007"/>
      <c r="Q704" s="1008"/>
    </row>
    <row r="705" spans="1:17" hidden="1">
      <c r="A705" s="966"/>
      <c r="B705" s="967"/>
      <c r="C705" s="967">
        <v>660</v>
      </c>
      <c r="D705" s="967"/>
      <c r="E705" s="968"/>
      <c r="F705" s="968"/>
      <c r="G705" s="968"/>
      <c r="H705" s="968"/>
      <c r="I705" s="968"/>
      <c r="J705" s="968"/>
      <c r="K705" s="967"/>
      <c r="L705" s="967"/>
      <c r="M705" s="967"/>
      <c r="N705" s="967"/>
      <c r="O705" s="1007"/>
      <c r="P705" s="1007"/>
      <c r="Q705" s="1008"/>
    </row>
    <row r="706" spans="1:17" hidden="1">
      <c r="A706" s="966"/>
      <c r="B706" s="967"/>
      <c r="C706" s="967">
        <v>661</v>
      </c>
      <c r="D706" s="967"/>
      <c r="E706" s="968"/>
      <c r="F706" s="968"/>
      <c r="G706" s="968"/>
      <c r="H706" s="968"/>
      <c r="I706" s="968"/>
      <c r="J706" s="968"/>
      <c r="K706" s="967"/>
      <c r="L706" s="967"/>
      <c r="M706" s="967"/>
      <c r="N706" s="967"/>
      <c r="O706" s="1007"/>
      <c r="P706" s="1007"/>
      <c r="Q706" s="1008"/>
    </row>
    <row r="707" spans="1:17" hidden="1">
      <c r="A707" s="966"/>
      <c r="B707" s="967"/>
      <c r="C707" s="967">
        <v>662</v>
      </c>
      <c r="D707" s="967"/>
      <c r="E707" s="968"/>
      <c r="F707" s="968"/>
      <c r="G707" s="968"/>
      <c r="H707" s="968"/>
      <c r="I707" s="968"/>
      <c r="J707" s="968"/>
      <c r="K707" s="967"/>
      <c r="L707" s="967"/>
      <c r="M707" s="967"/>
      <c r="N707" s="967"/>
      <c r="O707" s="1007"/>
      <c r="P707" s="1007"/>
      <c r="Q707" s="1008"/>
    </row>
    <row r="708" spans="1:17" hidden="1">
      <c r="A708" s="966"/>
      <c r="B708" s="967"/>
      <c r="C708" s="967">
        <v>663</v>
      </c>
      <c r="D708" s="967"/>
      <c r="E708" s="968"/>
      <c r="F708" s="968"/>
      <c r="G708" s="968"/>
      <c r="H708" s="968"/>
      <c r="I708" s="968"/>
      <c r="J708" s="968"/>
      <c r="K708" s="967"/>
      <c r="L708" s="967"/>
      <c r="M708" s="967"/>
      <c r="N708" s="967"/>
      <c r="O708" s="1007"/>
      <c r="P708" s="1007"/>
      <c r="Q708" s="1008"/>
    </row>
    <row r="709" spans="1:17" hidden="1">
      <c r="A709" s="966"/>
      <c r="B709" s="967"/>
      <c r="C709" s="967">
        <v>664</v>
      </c>
      <c r="D709" s="967"/>
      <c r="E709" s="968"/>
      <c r="F709" s="968"/>
      <c r="G709" s="968"/>
      <c r="H709" s="968"/>
      <c r="I709" s="968"/>
      <c r="J709" s="968"/>
      <c r="K709" s="967"/>
      <c r="L709" s="967"/>
      <c r="M709" s="967"/>
      <c r="N709" s="967"/>
      <c r="O709" s="1007"/>
      <c r="P709" s="1007"/>
      <c r="Q709" s="1008"/>
    </row>
    <row r="710" spans="1:17" hidden="1">
      <c r="A710" s="966"/>
      <c r="B710" s="967"/>
      <c r="C710" s="967">
        <v>665</v>
      </c>
      <c r="D710" s="967"/>
      <c r="E710" s="968"/>
      <c r="F710" s="968"/>
      <c r="G710" s="968"/>
      <c r="H710" s="968"/>
      <c r="I710" s="968"/>
      <c r="J710" s="968"/>
      <c r="K710" s="967"/>
      <c r="L710" s="967"/>
      <c r="M710" s="967"/>
      <c r="N710" s="967"/>
      <c r="O710" s="1007"/>
      <c r="P710" s="1007"/>
      <c r="Q710" s="1008"/>
    </row>
    <row r="711" spans="1:17" hidden="1">
      <c r="A711" s="966"/>
      <c r="B711" s="967"/>
      <c r="C711" s="967">
        <v>666</v>
      </c>
      <c r="D711" s="967"/>
      <c r="E711" s="968"/>
      <c r="F711" s="968"/>
      <c r="G711" s="968"/>
      <c r="H711" s="968"/>
      <c r="I711" s="968"/>
      <c r="J711" s="968"/>
      <c r="K711" s="967"/>
      <c r="L711" s="967"/>
      <c r="M711" s="967"/>
      <c r="N711" s="967"/>
      <c r="O711" s="1007"/>
      <c r="P711" s="1007"/>
      <c r="Q711" s="1008"/>
    </row>
    <row r="712" spans="1:17" hidden="1">
      <c r="A712" s="966"/>
      <c r="B712" s="967"/>
      <c r="C712" s="967">
        <v>667</v>
      </c>
      <c r="D712" s="967"/>
      <c r="E712" s="968"/>
      <c r="F712" s="968"/>
      <c r="G712" s="968"/>
      <c r="H712" s="968"/>
      <c r="I712" s="968"/>
      <c r="J712" s="968"/>
      <c r="K712" s="967"/>
      <c r="L712" s="967"/>
      <c r="M712" s="967"/>
      <c r="N712" s="967"/>
      <c r="O712" s="1007"/>
      <c r="P712" s="1007"/>
      <c r="Q712" s="1008"/>
    </row>
    <row r="713" spans="1:17" hidden="1">
      <c r="A713" s="966"/>
      <c r="B713" s="967"/>
      <c r="C713" s="967">
        <v>668</v>
      </c>
      <c r="D713" s="967"/>
      <c r="E713" s="968"/>
      <c r="F713" s="968"/>
      <c r="G713" s="968"/>
      <c r="H713" s="968"/>
      <c r="I713" s="968"/>
      <c r="J713" s="968"/>
      <c r="K713" s="967"/>
      <c r="L713" s="967"/>
      <c r="M713" s="967"/>
      <c r="N713" s="967"/>
      <c r="O713" s="1007"/>
      <c r="P713" s="1007"/>
      <c r="Q713" s="1008"/>
    </row>
    <row r="714" spans="1:17" hidden="1">
      <c r="A714" s="966"/>
      <c r="B714" s="967"/>
      <c r="C714" s="967">
        <v>669</v>
      </c>
      <c r="D714" s="967"/>
      <c r="E714" s="968"/>
      <c r="F714" s="968"/>
      <c r="G714" s="968"/>
      <c r="H714" s="968"/>
      <c r="I714" s="968"/>
      <c r="J714" s="968"/>
      <c r="K714" s="967"/>
      <c r="L714" s="967"/>
      <c r="M714" s="967"/>
      <c r="N714" s="967"/>
      <c r="O714" s="1007"/>
      <c r="P714" s="1007"/>
      <c r="Q714" s="1008"/>
    </row>
    <row r="715" spans="1:17" hidden="1">
      <c r="A715" s="966"/>
      <c r="B715" s="967"/>
      <c r="C715" s="967">
        <v>670</v>
      </c>
      <c r="D715" s="967"/>
      <c r="E715" s="968"/>
      <c r="F715" s="968"/>
      <c r="G715" s="968"/>
      <c r="H715" s="968"/>
      <c r="I715" s="968"/>
      <c r="J715" s="968"/>
      <c r="K715" s="967"/>
      <c r="L715" s="967"/>
      <c r="M715" s="967"/>
      <c r="N715" s="967"/>
      <c r="O715" s="1007"/>
      <c r="P715" s="1007"/>
      <c r="Q715" s="1008"/>
    </row>
    <row r="716" spans="1:17" hidden="1">
      <c r="A716" s="966"/>
      <c r="B716" s="967"/>
      <c r="C716" s="967">
        <v>671</v>
      </c>
      <c r="D716" s="967"/>
      <c r="E716" s="968"/>
      <c r="F716" s="968"/>
      <c r="G716" s="968"/>
      <c r="H716" s="968"/>
      <c r="I716" s="968"/>
      <c r="J716" s="968"/>
      <c r="K716" s="967"/>
      <c r="L716" s="967"/>
      <c r="M716" s="967"/>
      <c r="N716" s="967"/>
      <c r="O716" s="1007"/>
      <c r="P716" s="1007"/>
      <c r="Q716" s="1008"/>
    </row>
    <row r="717" spans="1:17" hidden="1">
      <c r="A717" s="966"/>
      <c r="B717" s="967"/>
      <c r="C717" s="967">
        <v>672</v>
      </c>
      <c r="D717" s="967"/>
      <c r="E717" s="968"/>
      <c r="F717" s="968"/>
      <c r="G717" s="968"/>
      <c r="H717" s="968"/>
      <c r="I717" s="968"/>
      <c r="J717" s="968"/>
      <c r="K717" s="967"/>
      <c r="L717" s="967"/>
      <c r="M717" s="967"/>
      <c r="N717" s="967"/>
      <c r="O717" s="1007"/>
      <c r="P717" s="1007"/>
      <c r="Q717" s="1008"/>
    </row>
    <row r="718" spans="1:17" hidden="1">
      <c r="A718" s="966"/>
      <c r="B718" s="967"/>
      <c r="C718" s="967">
        <v>673</v>
      </c>
      <c r="D718" s="967"/>
      <c r="E718" s="968"/>
      <c r="F718" s="968"/>
      <c r="G718" s="968"/>
      <c r="H718" s="968"/>
      <c r="I718" s="968"/>
      <c r="J718" s="968"/>
      <c r="K718" s="967"/>
      <c r="L718" s="967"/>
      <c r="M718" s="967"/>
      <c r="N718" s="967"/>
      <c r="O718" s="1007"/>
      <c r="P718" s="1007"/>
      <c r="Q718" s="1008"/>
    </row>
    <row r="719" spans="1:17" hidden="1">
      <c r="A719" s="966"/>
      <c r="B719" s="967"/>
      <c r="C719" s="967">
        <v>674</v>
      </c>
      <c r="D719" s="967"/>
      <c r="E719" s="968"/>
      <c r="F719" s="968"/>
      <c r="G719" s="968"/>
      <c r="H719" s="968"/>
      <c r="I719" s="968"/>
      <c r="J719" s="968"/>
      <c r="K719" s="967"/>
      <c r="L719" s="967"/>
      <c r="M719" s="967"/>
      <c r="N719" s="967"/>
      <c r="O719" s="1007"/>
      <c r="P719" s="1007"/>
      <c r="Q719" s="1008"/>
    </row>
    <row r="720" spans="1:17" hidden="1">
      <c r="A720" s="966"/>
      <c r="B720" s="967"/>
      <c r="C720" s="967">
        <v>675</v>
      </c>
      <c r="D720" s="967"/>
      <c r="E720" s="968"/>
      <c r="F720" s="968"/>
      <c r="G720" s="968"/>
      <c r="H720" s="968"/>
      <c r="I720" s="968"/>
      <c r="J720" s="968"/>
      <c r="K720" s="967"/>
      <c r="L720" s="967"/>
      <c r="M720" s="967"/>
      <c r="N720" s="967"/>
      <c r="O720" s="1007"/>
      <c r="P720" s="1007"/>
      <c r="Q720" s="1008"/>
    </row>
    <row r="721" spans="1:17" hidden="1">
      <c r="A721" s="966"/>
      <c r="B721" s="967"/>
      <c r="C721" s="967">
        <v>676</v>
      </c>
      <c r="D721" s="967"/>
      <c r="E721" s="968"/>
      <c r="F721" s="968"/>
      <c r="G721" s="968"/>
      <c r="H721" s="968"/>
      <c r="I721" s="968"/>
      <c r="J721" s="968"/>
      <c r="K721" s="967"/>
      <c r="L721" s="967"/>
      <c r="M721" s="967"/>
      <c r="N721" s="967"/>
      <c r="O721" s="1007"/>
      <c r="P721" s="1007"/>
      <c r="Q721" s="1008"/>
    </row>
    <row r="722" spans="1:17" hidden="1">
      <c r="A722" s="966"/>
      <c r="B722" s="967"/>
      <c r="C722" s="967">
        <v>677</v>
      </c>
      <c r="D722" s="967"/>
      <c r="E722" s="968"/>
      <c r="F722" s="968"/>
      <c r="G722" s="968"/>
      <c r="H722" s="968"/>
      <c r="I722" s="968"/>
      <c r="J722" s="968"/>
      <c r="K722" s="967"/>
      <c r="L722" s="967"/>
      <c r="M722" s="967"/>
      <c r="N722" s="967"/>
      <c r="O722" s="1007"/>
      <c r="P722" s="1007"/>
      <c r="Q722" s="1008"/>
    </row>
    <row r="723" spans="1:17" hidden="1">
      <c r="A723" s="966"/>
      <c r="B723" s="967"/>
      <c r="C723" s="967">
        <v>678</v>
      </c>
      <c r="D723" s="967"/>
      <c r="E723" s="968"/>
      <c r="F723" s="968"/>
      <c r="G723" s="968"/>
      <c r="H723" s="968"/>
      <c r="I723" s="968"/>
      <c r="J723" s="968"/>
      <c r="K723" s="967"/>
      <c r="L723" s="967"/>
      <c r="M723" s="967"/>
      <c r="N723" s="967"/>
      <c r="O723" s="1007"/>
      <c r="P723" s="1007"/>
      <c r="Q723" s="1008"/>
    </row>
    <row r="724" spans="1:17" hidden="1">
      <c r="A724" s="966"/>
      <c r="B724" s="967"/>
      <c r="C724" s="967">
        <v>679</v>
      </c>
      <c r="D724" s="967"/>
      <c r="E724" s="968"/>
      <c r="F724" s="968"/>
      <c r="G724" s="968"/>
      <c r="H724" s="968"/>
      <c r="I724" s="968"/>
      <c r="J724" s="968"/>
      <c r="K724" s="967"/>
      <c r="L724" s="967"/>
      <c r="M724" s="967"/>
      <c r="N724" s="967"/>
      <c r="O724" s="1007"/>
      <c r="P724" s="1007"/>
      <c r="Q724" s="1008"/>
    </row>
    <row r="725" spans="1:17" hidden="1">
      <c r="A725" s="966"/>
      <c r="B725" s="967"/>
      <c r="C725" s="967">
        <v>680</v>
      </c>
      <c r="D725" s="967"/>
      <c r="E725" s="968"/>
      <c r="F725" s="968"/>
      <c r="G725" s="968"/>
      <c r="H725" s="968"/>
      <c r="I725" s="968"/>
      <c r="J725" s="968"/>
      <c r="K725" s="967"/>
      <c r="L725" s="967"/>
      <c r="M725" s="967"/>
      <c r="N725" s="967"/>
      <c r="O725" s="1007"/>
      <c r="P725" s="1007"/>
      <c r="Q725" s="1008"/>
    </row>
    <row r="726" spans="1:17" hidden="1">
      <c r="A726" s="966"/>
      <c r="B726" s="967"/>
      <c r="C726" s="967">
        <v>681</v>
      </c>
      <c r="D726" s="967"/>
      <c r="E726" s="968"/>
      <c r="F726" s="968"/>
      <c r="G726" s="968"/>
      <c r="H726" s="968"/>
      <c r="I726" s="968"/>
      <c r="J726" s="968"/>
      <c r="K726" s="967"/>
      <c r="L726" s="967"/>
      <c r="M726" s="967"/>
      <c r="N726" s="967"/>
      <c r="O726" s="1007"/>
      <c r="P726" s="1007"/>
      <c r="Q726" s="1008"/>
    </row>
    <row r="727" spans="1:17" hidden="1">
      <c r="A727" s="966"/>
      <c r="B727" s="967"/>
      <c r="C727" s="967">
        <v>682</v>
      </c>
      <c r="D727" s="967"/>
      <c r="E727" s="968"/>
      <c r="F727" s="968"/>
      <c r="G727" s="968"/>
      <c r="H727" s="968"/>
      <c r="I727" s="968"/>
      <c r="J727" s="968"/>
      <c r="K727" s="967"/>
      <c r="L727" s="967"/>
      <c r="M727" s="967"/>
      <c r="N727" s="967"/>
      <c r="O727" s="1007"/>
      <c r="P727" s="1007"/>
      <c r="Q727" s="1008"/>
    </row>
    <row r="728" spans="1:17" hidden="1">
      <c r="A728" s="966"/>
      <c r="B728" s="967"/>
      <c r="C728" s="967">
        <v>683</v>
      </c>
      <c r="D728" s="967"/>
      <c r="E728" s="968"/>
      <c r="F728" s="968"/>
      <c r="G728" s="968"/>
      <c r="H728" s="968"/>
      <c r="I728" s="968"/>
      <c r="J728" s="968"/>
      <c r="K728" s="967"/>
      <c r="L728" s="967"/>
      <c r="M728" s="967"/>
      <c r="N728" s="967"/>
      <c r="O728" s="1007"/>
      <c r="P728" s="1007"/>
      <c r="Q728" s="1008"/>
    </row>
    <row r="729" spans="1:17" hidden="1">
      <c r="A729" s="966"/>
      <c r="B729" s="967"/>
      <c r="C729" s="967">
        <v>684</v>
      </c>
      <c r="D729" s="967"/>
      <c r="E729" s="968"/>
      <c r="F729" s="968"/>
      <c r="G729" s="968"/>
      <c r="H729" s="968"/>
      <c r="I729" s="968"/>
      <c r="J729" s="968"/>
      <c r="K729" s="967"/>
      <c r="L729" s="967"/>
      <c r="M729" s="967"/>
      <c r="N729" s="967"/>
      <c r="O729" s="1007"/>
      <c r="P729" s="1007"/>
      <c r="Q729" s="1008"/>
    </row>
    <row r="730" spans="1:17" hidden="1">
      <c r="A730" s="966"/>
      <c r="B730" s="967"/>
      <c r="C730" s="967">
        <v>685</v>
      </c>
      <c r="D730" s="967"/>
      <c r="E730" s="968"/>
      <c r="F730" s="968"/>
      <c r="G730" s="968"/>
      <c r="H730" s="968"/>
      <c r="I730" s="968"/>
      <c r="J730" s="968"/>
      <c r="K730" s="967"/>
      <c r="L730" s="967"/>
      <c r="M730" s="967"/>
      <c r="N730" s="967"/>
      <c r="O730" s="1007"/>
      <c r="P730" s="1007"/>
      <c r="Q730" s="1008"/>
    </row>
    <row r="731" spans="1:17" hidden="1">
      <c r="A731" s="966"/>
      <c r="B731" s="967"/>
      <c r="C731" s="967">
        <v>686</v>
      </c>
      <c r="D731" s="967"/>
      <c r="E731" s="968"/>
      <c r="F731" s="968"/>
      <c r="G731" s="968"/>
      <c r="H731" s="968"/>
      <c r="I731" s="968"/>
      <c r="J731" s="968"/>
      <c r="K731" s="967"/>
      <c r="L731" s="967"/>
      <c r="M731" s="967"/>
      <c r="N731" s="967"/>
      <c r="O731" s="1007"/>
      <c r="P731" s="1007"/>
      <c r="Q731" s="1008"/>
    </row>
    <row r="732" spans="1:17" hidden="1">
      <c r="A732" s="966"/>
      <c r="B732" s="967"/>
      <c r="C732" s="967">
        <v>687</v>
      </c>
      <c r="D732" s="967"/>
      <c r="E732" s="968"/>
      <c r="F732" s="968"/>
      <c r="G732" s="968"/>
      <c r="H732" s="968"/>
      <c r="I732" s="968"/>
      <c r="J732" s="968"/>
      <c r="K732" s="967"/>
      <c r="L732" s="967"/>
      <c r="M732" s="967"/>
      <c r="N732" s="967"/>
      <c r="O732" s="1007"/>
      <c r="P732" s="1007"/>
      <c r="Q732" s="1008"/>
    </row>
    <row r="733" spans="1:17" hidden="1">
      <c r="A733" s="966"/>
      <c r="B733" s="967"/>
      <c r="C733" s="967">
        <v>688</v>
      </c>
      <c r="D733" s="967"/>
      <c r="E733" s="968"/>
      <c r="F733" s="968"/>
      <c r="G733" s="968"/>
      <c r="H733" s="968"/>
      <c r="I733" s="968"/>
      <c r="J733" s="968"/>
      <c r="K733" s="967"/>
      <c r="L733" s="967"/>
      <c r="M733" s="967"/>
      <c r="N733" s="967"/>
      <c r="O733" s="1007"/>
      <c r="P733" s="1007"/>
      <c r="Q733" s="1008"/>
    </row>
    <row r="734" spans="1:17" hidden="1">
      <c r="A734" s="966"/>
      <c r="B734" s="967"/>
      <c r="C734" s="967">
        <v>689</v>
      </c>
      <c r="D734" s="967"/>
      <c r="E734" s="968"/>
      <c r="F734" s="968"/>
      <c r="G734" s="968"/>
      <c r="H734" s="968"/>
      <c r="I734" s="968"/>
      <c r="J734" s="968"/>
      <c r="K734" s="967"/>
      <c r="L734" s="967"/>
      <c r="M734" s="967"/>
      <c r="N734" s="967"/>
      <c r="O734" s="1007"/>
      <c r="P734" s="1007"/>
      <c r="Q734" s="1008"/>
    </row>
    <row r="735" spans="1:17" hidden="1">
      <c r="A735" s="966"/>
      <c r="B735" s="967"/>
      <c r="C735" s="967">
        <v>690</v>
      </c>
      <c r="D735" s="967"/>
      <c r="E735" s="968"/>
      <c r="F735" s="968"/>
      <c r="G735" s="968"/>
      <c r="H735" s="968"/>
      <c r="I735" s="968"/>
      <c r="J735" s="968"/>
      <c r="K735" s="967"/>
      <c r="L735" s="967"/>
      <c r="M735" s="967"/>
      <c r="N735" s="967"/>
      <c r="O735" s="1007"/>
      <c r="P735" s="1007"/>
      <c r="Q735" s="1008"/>
    </row>
    <row r="736" spans="1:17" hidden="1">
      <c r="A736" s="966"/>
      <c r="B736" s="967"/>
      <c r="C736" s="967">
        <v>691</v>
      </c>
      <c r="D736" s="967"/>
      <c r="E736" s="968"/>
      <c r="F736" s="968"/>
      <c r="G736" s="968"/>
      <c r="H736" s="968"/>
      <c r="I736" s="968"/>
      <c r="J736" s="968"/>
      <c r="K736" s="967"/>
      <c r="L736" s="967"/>
      <c r="M736" s="967"/>
      <c r="N736" s="967"/>
      <c r="O736" s="1007"/>
      <c r="P736" s="1007"/>
      <c r="Q736" s="1008"/>
    </row>
    <row r="737" spans="1:17" hidden="1">
      <c r="A737" s="966"/>
      <c r="B737" s="967"/>
      <c r="C737" s="967">
        <v>692</v>
      </c>
      <c r="D737" s="967"/>
      <c r="E737" s="968"/>
      <c r="F737" s="968"/>
      <c r="G737" s="968"/>
      <c r="H737" s="968"/>
      <c r="I737" s="968"/>
      <c r="J737" s="968"/>
      <c r="K737" s="967"/>
      <c r="L737" s="967"/>
      <c r="M737" s="967"/>
      <c r="N737" s="967"/>
      <c r="O737" s="1007"/>
      <c r="P737" s="1007"/>
      <c r="Q737" s="1008"/>
    </row>
    <row r="738" spans="1:17" hidden="1">
      <c r="A738" s="966"/>
      <c r="B738" s="967"/>
      <c r="C738" s="967">
        <v>693</v>
      </c>
      <c r="D738" s="967"/>
      <c r="E738" s="968"/>
      <c r="F738" s="968"/>
      <c r="G738" s="968"/>
      <c r="H738" s="968"/>
      <c r="I738" s="968"/>
      <c r="J738" s="968"/>
      <c r="K738" s="967"/>
      <c r="L738" s="967"/>
      <c r="M738" s="967"/>
      <c r="N738" s="967"/>
      <c r="O738" s="1007"/>
      <c r="P738" s="1007"/>
      <c r="Q738" s="1008"/>
    </row>
    <row r="739" spans="1:17" hidden="1">
      <c r="A739" s="966"/>
      <c r="B739" s="967"/>
      <c r="C739" s="967">
        <v>694</v>
      </c>
      <c r="D739" s="967"/>
      <c r="E739" s="968"/>
      <c r="F739" s="968"/>
      <c r="G739" s="968"/>
      <c r="H739" s="968"/>
      <c r="I739" s="968"/>
      <c r="J739" s="968"/>
      <c r="K739" s="967"/>
      <c r="L739" s="967"/>
      <c r="M739" s="967"/>
      <c r="N739" s="967"/>
      <c r="O739" s="1007"/>
      <c r="P739" s="1007"/>
      <c r="Q739" s="1008"/>
    </row>
    <row r="740" spans="1:17" hidden="1">
      <c r="A740" s="966"/>
      <c r="B740" s="967"/>
      <c r="C740" s="967">
        <v>695</v>
      </c>
      <c r="D740" s="967"/>
      <c r="E740" s="968"/>
      <c r="F740" s="968"/>
      <c r="G740" s="968"/>
      <c r="H740" s="968"/>
      <c r="I740" s="968"/>
      <c r="J740" s="968"/>
      <c r="K740" s="967"/>
      <c r="L740" s="967"/>
      <c r="M740" s="967"/>
      <c r="N740" s="967"/>
      <c r="O740" s="1007"/>
      <c r="P740" s="1007"/>
      <c r="Q740" s="1008"/>
    </row>
    <row r="741" spans="1:17" hidden="1">
      <c r="A741" s="966"/>
      <c r="B741" s="967"/>
      <c r="C741" s="967">
        <v>696</v>
      </c>
      <c r="D741" s="967"/>
      <c r="E741" s="968"/>
      <c r="F741" s="968"/>
      <c r="G741" s="968"/>
      <c r="H741" s="968"/>
      <c r="I741" s="968"/>
      <c r="J741" s="968"/>
      <c r="K741" s="967"/>
      <c r="L741" s="967"/>
      <c r="M741" s="967"/>
      <c r="N741" s="967"/>
      <c r="O741" s="1007"/>
      <c r="P741" s="1007"/>
      <c r="Q741" s="1008"/>
    </row>
    <row r="742" spans="1:17" hidden="1">
      <c r="A742" s="966"/>
      <c r="B742" s="967"/>
      <c r="C742" s="967">
        <v>697</v>
      </c>
      <c r="D742" s="967"/>
      <c r="E742" s="968"/>
      <c r="F742" s="968"/>
      <c r="G742" s="968"/>
      <c r="H742" s="968"/>
      <c r="I742" s="968"/>
      <c r="J742" s="968"/>
      <c r="K742" s="967"/>
      <c r="L742" s="967"/>
      <c r="M742" s="967"/>
      <c r="N742" s="967"/>
      <c r="O742" s="1007"/>
      <c r="P742" s="1007"/>
      <c r="Q742" s="1008"/>
    </row>
    <row r="743" spans="1:17" hidden="1">
      <c r="A743" s="966"/>
      <c r="B743" s="967"/>
      <c r="C743" s="967">
        <v>698</v>
      </c>
      <c r="D743" s="967"/>
      <c r="E743" s="968"/>
      <c r="F743" s="968"/>
      <c r="G743" s="968"/>
      <c r="H743" s="968"/>
      <c r="I743" s="968"/>
      <c r="J743" s="968"/>
      <c r="K743" s="967"/>
      <c r="L743" s="967"/>
      <c r="M743" s="967"/>
      <c r="N743" s="967"/>
      <c r="O743" s="1007"/>
      <c r="P743" s="1007"/>
      <c r="Q743" s="1008"/>
    </row>
    <row r="744" spans="1:17" hidden="1">
      <c r="A744" s="966"/>
      <c r="B744" s="967"/>
      <c r="C744" s="967">
        <v>699</v>
      </c>
      <c r="D744" s="967"/>
      <c r="E744" s="968"/>
      <c r="F744" s="968"/>
      <c r="G744" s="968"/>
      <c r="H744" s="968"/>
      <c r="I744" s="968"/>
      <c r="J744" s="968"/>
      <c r="K744" s="967"/>
      <c r="L744" s="967"/>
      <c r="M744" s="967"/>
      <c r="N744" s="967"/>
      <c r="O744" s="1007"/>
      <c r="P744" s="1007"/>
      <c r="Q744" s="1008"/>
    </row>
    <row r="745" spans="1:17" hidden="1">
      <c r="A745" s="966"/>
      <c r="B745" s="967"/>
      <c r="C745" s="967">
        <v>700</v>
      </c>
      <c r="D745" s="967"/>
      <c r="E745" s="968"/>
      <c r="F745" s="968"/>
      <c r="G745" s="968"/>
      <c r="H745" s="968"/>
      <c r="I745" s="968"/>
      <c r="J745" s="968"/>
      <c r="K745" s="967"/>
      <c r="L745" s="967"/>
      <c r="M745" s="967"/>
      <c r="N745" s="967"/>
      <c r="O745" s="1007"/>
      <c r="P745" s="1007"/>
      <c r="Q745" s="1008"/>
    </row>
    <row r="746" spans="1:17" hidden="1">
      <c r="A746" s="966"/>
      <c r="B746" s="967"/>
      <c r="C746" s="967">
        <v>701</v>
      </c>
      <c r="D746" s="967"/>
      <c r="E746" s="968"/>
      <c r="F746" s="968"/>
      <c r="G746" s="968"/>
      <c r="H746" s="968"/>
      <c r="I746" s="968"/>
      <c r="J746" s="968"/>
      <c r="K746" s="967"/>
      <c r="L746" s="967"/>
      <c r="M746" s="967"/>
      <c r="N746" s="967"/>
      <c r="O746" s="1007"/>
      <c r="P746" s="1007"/>
      <c r="Q746" s="1008"/>
    </row>
    <row r="747" spans="1:17" hidden="1">
      <c r="A747" s="966"/>
      <c r="B747" s="967"/>
      <c r="C747" s="967">
        <v>702</v>
      </c>
      <c r="D747" s="967"/>
      <c r="E747" s="968"/>
      <c r="F747" s="968"/>
      <c r="G747" s="968"/>
      <c r="H747" s="968"/>
      <c r="I747" s="968"/>
      <c r="J747" s="968"/>
      <c r="K747" s="967"/>
      <c r="L747" s="967"/>
      <c r="M747" s="967"/>
      <c r="N747" s="967"/>
      <c r="O747" s="1007"/>
      <c r="P747" s="1007"/>
      <c r="Q747" s="1008"/>
    </row>
    <row r="748" spans="1:17" hidden="1">
      <c r="A748" s="966"/>
      <c r="B748" s="967"/>
      <c r="C748" s="967">
        <v>703</v>
      </c>
      <c r="D748" s="967"/>
      <c r="E748" s="968"/>
      <c r="F748" s="968"/>
      <c r="G748" s="968"/>
      <c r="H748" s="968"/>
      <c r="I748" s="968"/>
      <c r="J748" s="968"/>
      <c r="K748" s="967"/>
      <c r="L748" s="967"/>
      <c r="M748" s="967"/>
      <c r="N748" s="967"/>
      <c r="O748" s="1007"/>
      <c r="P748" s="1007"/>
      <c r="Q748" s="1008"/>
    </row>
    <row r="749" spans="1:17" hidden="1">
      <c r="A749" s="966"/>
      <c r="B749" s="967"/>
      <c r="C749" s="967">
        <v>704</v>
      </c>
      <c r="D749" s="967"/>
      <c r="E749" s="968"/>
      <c r="F749" s="968"/>
      <c r="G749" s="968"/>
      <c r="H749" s="968"/>
      <c r="I749" s="968"/>
      <c r="J749" s="968"/>
      <c r="K749" s="967"/>
      <c r="L749" s="967"/>
      <c r="M749" s="967"/>
      <c r="N749" s="967"/>
      <c r="O749" s="1007"/>
      <c r="P749" s="1007"/>
      <c r="Q749" s="1008"/>
    </row>
    <row r="750" spans="1:17" hidden="1">
      <c r="A750" s="966"/>
      <c r="B750" s="967"/>
      <c r="C750" s="967">
        <v>705</v>
      </c>
      <c r="D750" s="967"/>
      <c r="E750" s="968"/>
      <c r="F750" s="968"/>
      <c r="G750" s="968"/>
      <c r="H750" s="968"/>
      <c r="I750" s="968"/>
      <c r="J750" s="968"/>
      <c r="K750" s="967"/>
      <c r="L750" s="967"/>
      <c r="M750" s="967"/>
      <c r="N750" s="967"/>
      <c r="O750" s="1007"/>
      <c r="P750" s="1007"/>
      <c r="Q750" s="1008"/>
    </row>
    <row r="751" spans="1:17" hidden="1">
      <c r="A751" s="966"/>
      <c r="B751" s="967"/>
      <c r="C751" s="967">
        <v>706</v>
      </c>
      <c r="D751" s="967"/>
      <c r="E751" s="968"/>
      <c r="F751" s="968"/>
      <c r="G751" s="968"/>
      <c r="H751" s="968"/>
      <c r="I751" s="968"/>
      <c r="J751" s="968"/>
      <c r="K751" s="967"/>
      <c r="L751" s="967"/>
      <c r="M751" s="967"/>
      <c r="N751" s="967"/>
      <c r="O751" s="1007"/>
      <c r="P751" s="1007"/>
      <c r="Q751" s="1008"/>
    </row>
    <row r="752" spans="1:17" hidden="1">
      <c r="A752" s="966"/>
      <c r="B752" s="967"/>
      <c r="C752" s="967">
        <v>707</v>
      </c>
      <c r="D752" s="967"/>
      <c r="E752" s="968"/>
      <c r="F752" s="968"/>
      <c r="G752" s="968"/>
      <c r="H752" s="968"/>
      <c r="I752" s="968"/>
      <c r="J752" s="968"/>
      <c r="K752" s="967"/>
      <c r="L752" s="967"/>
      <c r="M752" s="967"/>
      <c r="N752" s="967"/>
      <c r="O752" s="1007"/>
      <c r="P752" s="1007"/>
      <c r="Q752" s="1008"/>
    </row>
    <row r="753" spans="1:17" hidden="1">
      <c r="A753" s="966"/>
      <c r="B753" s="967"/>
      <c r="C753" s="967">
        <v>708</v>
      </c>
      <c r="D753" s="967"/>
      <c r="E753" s="968"/>
      <c r="F753" s="968"/>
      <c r="G753" s="968"/>
      <c r="H753" s="968"/>
      <c r="I753" s="968"/>
      <c r="J753" s="968"/>
      <c r="K753" s="967"/>
      <c r="L753" s="967"/>
      <c r="M753" s="967"/>
      <c r="N753" s="967"/>
      <c r="O753" s="1007"/>
      <c r="P753" s="1007"/>
      <c r="Q753" s="1008"/>
    </row>
    <row r="754" spans="1:17" hidden="1">
      <c r="A754" s="966"/>
      <c r="B754" s="967"/>
      <c r="C754" s="967">
        <v>709</v>
      </c>
      <c r="D754" s="967"/>
      <c r="E754" s="968"/>
      <c r="F754" s="968"/>
      <c r="G754" s="968"/>
      <c r="H754" s="968"/>
      <c r="I754" s="968"/>
      <c r="J754" s="968"/>
      <c r="K754" s="967"/>
      <c r="L754" s="967"/>
      <c r="M754" s="967"/>
      <c r="N754" s="967"/>
      <c r="O754" s="1007"/>
      <c r="P754" s="1007"/>
      <c r="Q754" s="1008"/>
    </row>
    <row r="755" spans="1:17" hidden="1">
      <c r="A755" s="966"/>
      <c r="B755" s="967"/>
      <c r="C755" s="967">
        <v>710</v>
      </c>
      <c r="D755" s="967"/>
      <c r="E755" s="968"/>
      <c r="F755" s="968"/>
      <c r="G755" s="968"/>
      <c r="H755" s="968"/>
      <c r="I755" s="968"/>
      <c r="J755" s="968"/>
      <c r="K755" s="967"/>
      <c r="L755" s="967"/>
      <c r="M755" s="967"/>
      <c r="N755" s="967"/>
      <c r="O755" s="1007"/>
      <c r="P755" s="1007"/>
      <c r="Q755" s="1008"/>
    </row>
    <row r="756" spans="1:17" hidden="1">
      <c r="A756" s="966"/>
      <c r="B756" s="967"/>
      <c r="C756" s="967">
        <v>711</v>
      </c>
      <c r="D756" s="967"/>
      <c r="E756" s="968"/>
      <c r="F756" s="968"/>
      <c r="G756" s="968"/>
      <c r="H756" s="968"/>
      <c r="I756" s="968"/>
      <c r="J756" s="968"/>
      <c r="K756" s="967"/>
      <c r="L756" s="967"/>
      <c r="M756" s="967"/>
      <c r="N756" s="967"/>
      <c r="O756" s="1007"/>
      <c r="P756" s="1007"/>
      <c r="Q756" s="1008"/>
    </row>
    <row r="757" spans="1:17" hidden="1">
      <c r="A757" s="966"/>
      <c r="B757" s="967"/>
      <c r="C757" s="967">
        <v>712</v>
      </c>
      <c r="D757" s="967"/>
      <c r="E757" s="968"/>
      <c r="F757" s="968"/>
      <c r="G757" s="968"/>
      <c r="H757" s="968"/>
      <c r="I757" s="968"/>
      <c r="J757" s="968"/>
      <c r="K757" s="967"/>
      <c r="L757" s="967"/>
      <c r="M757" s="967"/>
      <c r="N757" s="967"/>
      <c r="O757" s="1007"/>
      <c r="P757" s="1007"/>
      <c r="Q757" s="1008"/>
    </row>
    <row r="758" spans="1:17" hidden="1">
      <c r="A758" s="966"/>
      <c r="B758" s="967"/>
      <c r="C758" s="967">
        <v>713</v>
      </c>
      <c r="D758" s="967"/>
      <c r="E758" s="968"/>
      <c r="F758" s="968"/>
      <c r="G758" s="968"/>
      <c r="H758" s="968"/>
      <c r="I758" s="968"/>
      <c r="J758" s="968"/>
      <c r="K758" s="967"/>
      <c r="L758" s="967"/>
      <c r="M758" s="967"/>
      <c r="N758" s="967"/>
      <c r="O758" s="1007"/>
      <c r="P758" s="1007"/>
      <c r="Q758" s="1008"/>
    </row>
    <row r="759" spans="1:17" hidden="1">
      <c r="A759" s="966"/>
      <c r="B759" s="967"/>
      <c r="C759" s="967">
        <v>714</v>
      </c>
      <c r="D759" s="967"/>
      <c r="E759" s="968"/>
      <c r="F759" s="968"/>
      <c r="G759" s="968"/>
      <c r="H759" s="968"/>
      <c r="I759" s="968"/>
      <c r="J759" s="968"/>
      <c r="K759" s="967"/>
      <c r="L759" s="967"/>
      <c r="M759" s="967"/>
      <c r="N759" s="967"/>
      <c r="O759" s="1007"/>
      <c r="P759" s="1007"/>
      <c r="Q759" s="1008"/>
    </row>
    <row r="760" spans="1:17" hidden="1">
      <c r="A760" s="966"/>
      <c r="B760" s="967"/>
      <c r="C760" s="967">
        <v>715</v>
      </c>
      <c r="D760" s="967"/>
      <c r="E760" s="968"/>
      <c r="F760" s="968"/>
      <c r="G760" s="968"/>
      <c r="H760" s="968"/>
      <c r="I760" s="968"/>
      <c r="J760" s="968"/>
      <c r="K760" s="967"/>
      <c r="L760" s="967"/>
      <c r="M760" s="967"/>
      <c r="N760" s="967"/>
      <c r="O760" s="1007"/>
      <c r="P760" s="1007"/>
      <c r="Q760" s="1008"/>
    </row>
    <row r="761" spans="1:17" hidden="1">
      <c r="A761" s="966"/>
      <c r="B761" s="967"/>
      <c r="C761" s="967">
        <v>716</v>
      </c>
      <c r="D761" s="967"/>
      <c r="E761" s="968"/>
      <c r="F761" s="968"/>
      <c r="G761" s="968"/>
      <c r="H761" s="968"/>
      <c r="I761" s="968"/>
      <c r="J761" s="968"/>
      <c r="K761" s="967"/>
      <c r="L761" s="967"/>
      <c r="M761" s="967"/>
      <c r="N761" s="967"/>
      <c r="O761" s="1007"/>
      <c r="P761" s="1007"/>
      <c r="Q761" s="1008"/>
    </row>
    <row r="762" spans="1:17" hidden="1">
      <c r="A762" s="966"/>
      <c r="B762" s="967"/>
      <c r="C762" s="967">
        <v>717</v>
      </c>
      <c r="D762" s="967"/>
      <c r="E762" s="968"/>
      <c r="F762" s="968"/>
      <c r="G762" s="968"/>
      <c r="H762" s="968"/>
      <c r="I762" s="968"/>
      <c r="J762" s="968"/>
      <c r="K762" s="967"/>
      <c r="L762" s="967"/>
      <c r="M762" s="967"/>
      <c r="N762" s="967"/>
      <c r="O762" s="1007"/>
      <c r="P762" s="1007"/>
      <c r="Q762" s="1008"/>
    </row>
    <row r="763" spans="1:17" hidden="1">
      <c r="A763" s="966"/>
      <c r="B763" s="967"/>
      <c r="C763" s="967">
        <v>718</v>
      </c>
      <c r="D763" s="967"/>
      <c r="E763" s="968"/>
      <c r="F763" s="968"/>
      <c r="G763" s="968"/>
      <c r="H763" s="968"/>
      <c r="I763" s="968"/>
      <c r="J763" s="968"/>
      <c r="K763" s="967"/>
      <c r="L763" s="967"/>
      <c r="M763" s="967"/>
      <c r="N763" s="967"/>
      <c r="O763" s="1007"/>
      <c r="P763" s="1007"/>
      <c r="Q763" s="1008"/>
    </row>
    <row r="764" spans="1:17" hidden="1">
      <c r="A764" s="966"/>
      <c r="B764" s="967"/>
      <c r="C764" s="967">
        <v>719</v>
      </c>
      <c r="D764" s="967"/>
      <c r="E764" s="968"/>
      <c r="F764" s="968"/>
      <c r="G764" s="968"/>
      <c r="H764" s="968"/>
      <c r="I764" s="968"/>
      <c r="J764" s="968"/>
      <c r="K764" s="967"/>
      <c r="L764" s="967"/>
      <c r="M764" s="967"/>
      <c r="N764" s="967"/>
      <c r="O764" s="1007"/>
      <c r="P764" s="1007"/>
      <c r="Q764" s="1008"/>
    </row>
    <row r="765" spans="1:17" hidden="1">
      <c r="A765" s="966"/>
      <c r="B765" s="967"/>
      <c r="C765" s="967">
        <v>720</v>
      </c>
      <c r="D765" s="967"/>
      <c r="E765" s="968"/>
      <c r="F765" s="968"/>
      <c r="G765" s="968"/>
      <c r="H765" s="968"/>
      <c r="I765" s="968"/>
      <c r="J765" s="968"/>
      <c r="K765" s="967"/>
      <c r="L765" s="967"/>
      <c r="M765" s="967"/>
      <c r="N765" s="967"/>
      <c r="O765" s="1007"/>
      <c r="P765" s="1007"/>
      <c r="Q765" s="1008"/>
    </row>
    <row r="766" spans="1:17" hidden="1">
      <c r="A766" s="966"/>
      <c r="B766" s="967"/>
      <c r="C766" s="967">
        <v>721</v>
      </c>
      <c r="D766" s="967"/>
      <c r="E766" s="968"/>
      <c r="F766" s="968"/>
      <c r="G766" s="968"/>
      <c r="H766" s="968"/>
      <c r="I766" s="968"/>
      <c r="J766" s="968"/>
      <c r="K766" s="967"/>
      <c r="L766" s="967"/>
      <c r="M766" s="967"/>
      <c r="N766" s="967"/>
      <c r="O766" s="1007"/>
      <c r="P766" s="1007"/>
      <c r="Q766" s="1008"/>
    </row>
    <row r="767" spans="1:17" hidden="1">
      <c r="A767" s="966"/>
      <c r="B767" s="967"/>
      <c r="C767" s="967">
        <v>722</v>
      </c>
      <c r="D767" s="967"/>
      <c r="E767" s="968"/>
      <c r="F767" s="968"/>
      <c r="G767" s="968"/>
      <c r="H767" s="968"/>
      <c r="I767" s="968"/>
      <c r="J767" s="968"/>
      <c r="K767" s="967"/>
      <c r="L767" s="967"/>
      <c r="M767" s="967"/>
      <c r="N767" s="967"/>
      <c r="O767" s="1007"/>
      <c r="P767" s="1007"/>
      <c r="Q767" s="1008"/>
    </row>
    <row r="768" spans="1:17" hidden="1">
      <c r="A768" s="966"/>
      <c r="B768" s="967"/>
      <c r="C768" s="967">
        <v>723</v>
      </c>
      <c r="D768" s="967"/>
      <c r="E768" s="968"/>
      <c r="F768" s="968"/>
      <c r="G768" s="968"/>
      <c r="H768" s="968"/>
      <c r="I768" s="968"/>
      <c r="J768" s="968"/>
      <c r="K768" s="967"/>
      <c r="L768" s="967"/>
      <c r="M768" s="967"/>
      <c r="N768" s="967"/>
      <c r="O768" s="1007"/>
      <c r="P768" s="1007"/>
      <c r="Q768" s="1008"/>
    </row>
    <row r="769" spans="1:17" hidden="1">
      <c r="A769" s="966"/>
      <c r="B769" s="967"/>
      <c r="C769" s="967">
        <v>724</v>
      </c>
      <c r="D769" s="967"/>
      <c r="E769" s="968"/>
      <c r="F769" s="968"/>
      <c r="G769" s="968"/>
      <c r="H769" s="968"/>
      <c r="I769" s="968"/>
      <c r="J769" s="968"/>
      <c r="K769" s="967"/>
      <c r="L769" s="967"/>
      <c r="M769" s="967"/>
      <c r="N769" s="967"/>
      <c r="O769" s="1007"/>
      <c r="P769" s="1007"/>
      <c r="Q769" s="1008"/>
    </row>
    <row r="770" spans="1:17" hidden="1">
      <c r="A770" s="966"/>
      <c r="B770" s="967"/>
      <c r="C770" s="967">
        <v>725</v>
      </c>
      <c r="D770" s="967"/>
      <c r="E770" s="968"/>
      <c r="F770" s="968"/>
      <c r="G770" s="968"/>
      <c r="H770" s="968"/>
      <c r="I770" s="968"/>
      <c r="J770" s="968"/>
      <c r="K770" s="967"/>
      <c r="L770" s="967"/>
      <c r="M770" s="967"/>
      <c r="N770" s="967"/>
      <c r="O770" s="1007"/>
      <c r="P770" s="1007"/>
      <c r="Q770" s="1008"/>
    </row>
    <row r="771" spans="1:17" hidden="1">
      <c r="A771" s="966"/>
      <c r="B771" s="967"/>
      <c r="C771" s="967">
        <v>726</v>
      </c>
      <c r="D771" s="967"/>
      <c r="E771" s="968"/>
      <c r="F771" s="968"/>
      <c r="G771" s="968"/>
      <c r="H771" s="968"/>
      <c r="I771" s="968"/>
      <c r="J771" s="968"/>
      <c r="K771" s="967"/>
      <c r="L771" s="967"/>
      <c r="M771" s="967"/>
      <c r="N771" s="967"/>
      <c r="O771" s="1007"/>
      <c r="P771" s="1007"/>
      <c r="Q771" s="1008"/>
    </row>
    <row r="772" spans="1:17" hidden="1">
      <c r="A772" s="966"/>
      <c r="B772" s="967"/>
      <c r="C772" s="967">
        <v>727</v>
      </c>
      <c r="D772" s="967"/>
      <c r="E772" s="968"/>
      <c r="F772" s="968"/>
      <c r="G772" s="968"/>
      <c r="H772" s="968"/>
      <c r="I772" s="968"/>
      <c r="J772" s="968"/>
      <c r="K772" s="967"/>
      <c r="L772" s="967"/>
      <c r="M772" s="967"/>
      <c r="N772" s="967"/>
      <c r="O772" s="1007"/>
      <c r="P772" s="1007"/>
      <c r="Q772" s="1008"/>
    </row>
    <row r="773" spans="1:17" hidden="1">
      <c r="A773" s="966"/>
      <c r="B773" s="967"/>
      <c r="C773" s="967">
        <v>728</v>
      </c>
      <c r="D773" s="967"/>
      <c r="E773" s="968"/>
      <c r="F773" s="968"/>
      <c r="G773" s="968"/>
      <c r="H773" s="968"/>
      <c r="I773" s="968"/>
      <c r="J773" s="968"/>
      <c r="K773" s="967"/>
      <c r="L773" s="967"/>
      <c r="M773" s="967"/>
      <c r="N773" s="967"/>
      <c r="O773" s="1007"/>
      <c r="P773" s="1007"/>
      <c r="Q773" s="1008"/>
    </row>
    <row r="774" spans="1:17" hidden="1">
      <c r="A774" s="966"/>
      <c r="B774" s="967"/>
      <c r="C774" s="967">
        <v>729</v>
      </c>
      <c r="D774" s="967"/>
      <c r="E774" s="968"/>
      <c r="F774" s="968"/>
      <c r="G774" s="968"/>
      <c r="H774" s="968"/>
      <c r="I774" s="968"/>
      <c r="J774" s="968"/>
      <c r="K774" s="967"/>
      <c r="L774" s="967"/>
      <c r="M774" s="967"/>
      <c r="N774" s="967"/>
      <c r="O774" s="1007"/>
      <c r="P774" s="1007"/>
      <c r="Q774" s="1008"/>
    </row>
    <row r="775" spans="1:17" hidden="1">
      <c r="A775" s="966"/>
      <c r="B775" s="967"/>
      <c r="C775" s="967">
        <v>730</v>
      </c>
      <c r="D775" s="967"/>
      <c r="E775" s="968"/>
      <c r="F775" s="968"/>
      <c r="G775" s="968"/>
      <c r="H775" s="968"/>
      <c r="I775" s="968"/>
      <c r="J775" s="968"/>
      <c r="K775" s="967"/>
      <c r="L775" s="967"/>
      <c r="M775" s="967"/>
      <c r="N775" s="967"/>
      <c r="O775" s="1007"/>
      <c r="P775" s="1007"/>
      <c r="Q775" s="1008"/>
    </row>
    <row r="776" spans="1:17" hidden="1">
      <c r="A776" s="966"/>
      <c r="B776" s="967"/>
      <c r="C776" s="967">
        <v>731</v>
      </c>
      <c r="D776" s="967"/>
      <c r="E776" s="968"/>
      <c r="F776" s="968"/>
      <c r="G776" s="968"/>
      <c r="H776" s="968"/>
      <c r="I776" s="968"/>
      <c r="J776" s="968"/>
      <c r="K776" s="967"/>
      <c r="L776" s="967"/>
      <c r="M776" s="967"/>
      <c r="N776" s="967"/>
      <c r="O776" s="1007"/>
      <c r="P776" s="1007"/>
      <c r="Q776" s="1008"/>
    </row>
    <row r="777" spans="1:17" hidden="1">
      <c r="A777" s="966"/>
      <c r="B777" s="967"/>
      <c r="C777" s="967">
        <v>732</v>
      </c>
      <c r="D777" s="967"/>
      <c r="E777" s="968"/>
      <c r="F777" s="968"/>
      <c r="G777" s="968"/>
      <c r="H777" s="968"/>
      <c r="I777" s="968"/>
      <c r="J777" s="968"/>
      <c r="K777" s="967"/>
      <c r="L777" s="967"/>
      <c r="M777" s="967"/>
      <c r="N777" s="967"/>
      <c r="O777" s="1007"/>
      <c r="P777" s="1007"/>
      <c r="Q777" s="1008"/>
    </row>
    <row r="778" spans="1:17" hidden="1">
      <c r="A778" s="966"/>
      <c r="B778" s="967"/>
      <c r="C778" s="967">
        <v>733</v>
      </c>
      <c r="D778" s="967"/>
      <c r="E778" s="968"/>
      <c r="F778" s="968"/>
      <c r="G778" s="968"/>
      <c r="H778" s="968"/>
      <c r="I778" s="968"/>
      <c r="J778" s="968"/>
      <c r="K778" s="967"/>
      <c r="L778" s="967"/>
      <c r="M778" s="967"/>
      <c r="N778" s="967"/>
      <c r="O778" s="1007"/>
      <c r="P778" s="1007"/>
      <c r="Q778" s="1008"/>
    </row>
    <row r="779" spans="1:17" hidden="1">
      <c r="A779" s="966"/>
      <c r="B779" s="967"/>
      <c r="C779" s="967">
        <v>734</v>
      </c>
      <c r="D779" s="967"/>
      <c r="E779" s="968"/>
      <c r="F779" s="968"/>
      <c r="G779" s="968"/>
      <c r="H779" s="968"/>
      <c r="I779" s="968"/>
      <c r="J779" s="968"/>
      <c r="K779" s="967"/>
      <c r="L779" s="967"/>
      <c r="M779" s="967"/>
      <c r="N779" s="967"/>
      <c r="O779" s="1007"/>
      <c r="P779" s="1007"/>
      <c r="Q779" s="1008"/>
    </row>
    <row r="780" spans="1:17" hidden="1">
      <c r="A780" s="966"/>
      <c r="B780" s="967"/>
      <c r="C780" s="967">
        <v>735</v>
      </c>
      <c r="D780" s="967"/>
      <c r="E780" s="968"/>
      <c r="F780" s="968"/>
      <c r="G780" s="968"/>
      <c r="H780" s="968"/>
      <c r="I780" s="968"/>
      <c r="J780" s="968"/>
      <c r="K780" s="967"/>
      <c r="L780" s="967"/>
      <c r="M780" s="967"/>
      <c r="N780" s="967"/>
      <c r="O780" s="1007"/>
      <c r="P780" s="1007"/>
      <c r="Q780" s="1008"/>
    </row>
    <row r="781" spans="1:17" hidden="1">
      <c r="A781" s="966"/>
      <c r="B781" s="967"/>
      <c r="C781" s="967">
        <v>736</v>
      </c>
      <c r="D781" s="967"/>
      <c r="E781" s="968"/>
      <c r="F781" s="968"/>
      <c r="G781" s="968"/>
      <c r="H781" s="968"/>
      <c r="I781" s="968"/>
      <c r="J781" s="968"/>
      <c r="K781" s="967"/>
      <c r="L781" s="967"/>
      <c r="M781" s="967"/>
      <c r="N781" s="967"/>
      <c r="O781" s="1007"/>
      <c r="P781" s="1007"/>
      <c r="Q781" s="1008"/>
    </row>
    <row r="782" spans="1:17" hidden="1">
      <c r="A782" s="966"/>
      <c r="B782" s="967"/>
      <c r="C782" s="967">
        <v>737</v>
      </c>
      <c r="D782" s="967"/>
      <c r="E782" s="968"/>
      <c r="F782" s="968"/>
      <c r="G782" s="968"/>
      <c r="H782" s="968"/>
      <c r="I782" s="968"/>
      <c r="J782" s="968"/>
      <c r="K782" s="967"/>
      <c r="L782" s="967"/>
      <c r="M782" s="967"/>
      <c r="N782" s="967"/>
      <c r="O782" s="1007"/>
      <c r="P782" s="1007"/>
      <c r="Q782" s="1008"/>
    </row>
    <row r="783" spans="1:17" hidden="1">
      <c r="A783" s="966"/>
      <c r="B783" s="967"/>
      <c r="C783" s="967">
        <v>738</v>
      </c>
      <c r="D783" s="967"/>
      <c r="E783" s="968"/>
      <c r="F783" s="968"/>
      <c r="G783" s="968"/>
      <c r="H783" s="968"/>
      <c r="I783" s="968"/>
      <c r="J783" s="968"/>
      <c r="K783" s="967"/>
      <c r="L783" s="967"/>
      <c r="M783" s="967"/>
      <c r="N783" s="967"/>
      <c r="O783" s="1007"/>
      <c r="P783" s="1007"/>
      <c r="Q783" s="1008"/>
    </row>
    <row r="784" spans="1:17" hidden="1">
      <c r="A784" s="966"/>
      <c r="B784" s="967"/>
      <c r="C784" s="967">
        <v>739</v>
      </c>
      <c r="D784" s="967"/>
      <c r="E784" s="968"/>
      <c r="F784" s="968"/>
      <c r="G784" s="968"/>
      <c r="H784" s="968"/>
      <c r="I784" s="968"/>
      <c r="J784" s="968"/>
      <c r="K784" s="967"/>
      <c r="L784" s="967"/>
      <c r="M784" s="967"/>
      <c r="N784" s="967"/>
      <c r="O784" s="1007"/>
      <c r="P784" s="1007"/>
      <c r="Q784" s="1008"/>
    </row>
    <row r="785" spans="1:17" hidden="1">
      <c r="A785" s="966"/>
      <c r="B785" s="967"/>
      <c r="C785" s="967">
        <v>740</v>
      </c>
      <c r="D785" s="967"/>
      <c r="E785" s="968"/>
      <c r="F785" s="968"/>
      <c r="G785" s="968"/>
      <c r="H785" s="968"/>
      <c r="I785" s="968"/>
      <c r="J785" s="968"/>
      <c r="K785" s="967"/>
      <c r="L785" s="967"/>
      <c r="M785" s="967"/>
      <c r="N785" s="967"/>
      <c r="O785" s="1007"/>
      <c r="P785" s="1007"/>
      <c r="Q785" s="1008"/>
    </row>
    <row r="786" spans="1:17" hidden="1">
      <c r="A786" s="966"/>
      <c r="B786" s="967"/>
      <c r="C786" s="967">
        <v>741</v>
      </c>
      <c r="D786" s="967"/>
      <c r="E786" s="968"/>
      <c r="F786" s="968"/>
      <c r="G786" s="968"/>
      <c r="H786" s="968"/>
      <c r="I786" s="968"/>
      <c r="J786" s="968"/>
      <c r="K786" s="967"/>
      <c r="L786" s="967"/>
      <c r="M786" s="967"/>
      <c r="N786" s="967"/>
      <c r="O786" s="1007"/>
      <c r="P786" s="1007"/>
      <c r="Q786" s="1008"/>
    </row>
    <row r="787" spans="1:17" hidden="1">
      <c r="A787" s="966"/>
      <c r="B787" s="967"/>
      <c r="C787" s="967">
        <v>742</v>
      </c>
      <c r="D787" s="967"/>
      <c r="E787" s="968"/>
      <c r="F787" s="968"/>
      <c r="G787" s="968"/>
      <c r="H787" s="968"/>
      <c r="I787" s="968"/>
      <c r="J787" s="968"/>
      <c r="K787" s="967"/>
      <c r="L787" s="967"/>
      <c r="M787" s="967"/>
      <c r="N787" s="967"/>
      <c r="O787" s="1007"/>
      <c r="P787" s="1007"/>
      <c r="Q787" s="1008"/>
    </row>
    <row r="788" spans="1:17" hidden="1">
      <c r="A788" s="966"/>
      <c r="B788" s="967"/>
      <c r="C788" s="967">
        <v>743</v>
      </c>
      <c r="D788" s="967"/>
      <c r="E788" s="968"/>
      <c r="F788" s="968"/>
      <c r="G788" s="968"/>
      <c r="H788" s="968"/>
      <c r="I788" s="968"/>
      <c r="J788" s="968"/>
      <c r="K788" s="967"/>
      <c r="L788" s="967"/>
      <c r="M788" s="967"/>
      <c r="N788" s="967"/>
      <c r="O788" s="1007"/>
      <c r="P788" s="1007"/>
      <c r="Q788" s="1008"/>
    </row>
    <row r="789" spans="1:17" hidden="1">
      <c r="A789" s="966"/>
      <c r="B789" s="967"/>
      <c r="C789" s="967">
        <v>744</v>
      </c>
      <c r="D789" s="967"/>
      <c r="E789" s="968"/>
      <c r="F789" s="968"/>
      <c r="G789" s="968"/>
      <c r="H789" s="968"/>
      <c r="I789" s="968"/>
      <c r="J789" s="968"/>
      <c r="K789" s="967"/>
      <c r="L789" s="967"/>
      <c r="M789" s="967"/>
      <c r="N789" s="967"/>
      <c r="O789" s="1007"/>
      <c r="P789" s="1007"/>
      <c r="Q789" s="1008"/>
    </row>
    <row r="790" spans="1:17" hidden="1">
      <c r="A790" s="966"/>
      <c r="B790" s="967"/>
      <c r="C790" s="967">
        <v>745</v>
      </c>
      <c r="D790" s="967"/>
      <c r="E790" s="968"/>
      <c r="F790" s="968"/>
      <c r="G790" s="968"/>
      <c r="H790" s="968"/>
      <c r="I790" s="968"/>
      <c r="J790" s="968"/>
      <c r="K790" s="967"/>
      <c r="L790" s="967"/>
      <c r="M790" s="967"/>
      <c r="N790" s="967"/>
      <c r="O790" s="1007"/>
      <c r="P790" s="1007"/>
      <c r="Q790" s="1008"/>
    </row>
    <row r="791" spans="1:17" hidden="1">
      <c r="A791" s="966"/>
      <c r="B791" s="967"/>
      <c r="C791" s="967">
        <v>746</v>
      </c>
      <c r="D791" s="967"/>
      <c r="E791" s="968"/>
      <c r="F791" s="968"/>
      <c r="G791" s="968"/>
      <c r="H791" s="968"/>
      <c r="I791" s="968"/>
      <c r="J791" s="968"/>
      <c r="K791" s="967"/>
      <c r="L791" s="967"/>
      <c r="M791" s="967"/>
      <c r="N791" s="967"/>
      <c r="O791" s="1007"/>
      <c r="P791" s="1007"/>
      <c r="Q791" s="1008"/>
    </row>
    <row r="792" spans="1:17" hidden="1">
      <c r="A792" s="966"/>
      <c r="B792" s="967"/>
      <c r="C792" s="967">
        <v>747</v>
      </c>
      <c r="D792" s="967"/>
      <c r="E792" s="968"/>
      <c r="F792" s="968"/>
      <c r="G792" s="968"/>
      <c r="H792" s="968"/>
      <c r="I792" s="968"/>
      <c r="J792" s="968"/>
      <c r="K792" s="967"/>
      <c r="L792" s="967"/>
      <c r="M792" s="967"/>
      <c r="N792" s="967"/>
      <c r="O792" s="1007"/>
      <c r="P792" s="1007"/>
      <c r="Q792" s="1008"/>
    </row>
    <row r="793" spans="1:17" hidden="1">
      <c r="A793" s="966"/>
      <c r="B793" s="967"/>
      <c r="C793" s="967">
        <v>748</v>
      </c>
      <c r="D793" s="967"/>
      <c r="E793" s="968"/>
      <c r="F793" s="968"/>
      <c r="G793" s="968"/>
      <c r="H793" s="968"/>
      <c r="I793" s="968"/>
      <c r="J793" s="968"/>
      <c r="K793" s="967"/>
      <c r="L793" s="967"/>
      <c r="M793" s="967"/>
      <c r="N793" s="967"/>
      <c r="O793" s="1007"/>
      <c r="P793" s="1007"/>
      <c r="Q793" s="1008"/>
    </row>
    <row r="794" spans="1:17" hidden="1">
      <c r="A794" s="966"/>
      <c r="B794" s="967"/>
      <c r="C794" s="967">
        <v>749</v>
      </c>
      <c r="D794" s="967"/>
      <c r="E794" s="968"/>
      <c r="F794" s="968"/>
      <c r="G794" s="968"/>
      <c r="H794" s="968"/>
      <c r="I794" s="968"/>
      <c r="J794" s="968"/>
      <c r="K794" s="967"/>
      <c r="L794" s="967"/>
      <c r="M794" s="967"/>
      <c r="N794" s="967"/>
      <c r="O794" s="1007"/>
      <c r="P794" s="1007"/>
      <c r="Q794" s="1008"/>
    </row>
    <row r="795" spans="1:17" hidden="1">
      <c r="A795" s="966"/>
      <c r="B795" s="967"/>
      <c r="C795" s="967">
        <v>750</v>
      </c>
      <c r="D795" s="967"/>
      <c r="E795" s="968"/>
      <c r="F795" s="968"/>
      <c r="G795" s="968"/>
      <c r="H795" s="968"/>
      <c r="I795" s="968"/>
      <c r="J795" s="968"/>
      <c r="K795" s="967"/>
      <c r="L795" s="967"/>
      <c r="M795" s="967"/>
      <c r="N795" s="967"/>
      <c r="O795" s="1007"/>
      <c r="P795" s="1007"/>
      <c r="Q795" s="1008"/>
    </row>
    <row r="796" spans="1:17" hidden="1">
      <c r="A796" s="966"/>
      <c r="B796" s="967"/>
      <c r="C796" s="967">
        <v>751</v>
      </c>
      <c r="D796" s="967"/>
      <c r="E796" s="968"/>
      <c r="F796" s="968"/>
      <c r="G796" s="968"/>
      <c r="H796" s="968"/>
      <c r="I796" s="968"/>
      <c r="J796" s="968"/>
      <c r="K796" s="967"/>
      <c r="L796" s="967"/>
      <c r="M796" s="967"/>
      <c r="N796" s="967"/>
      <c r="O796" s="1007"/>
      <c r="P796" s="1007"/>
      <c r="Q796" s="1008"/>
    </row>
    <row r="797" spans="1:17" hidden="1">
      <c r="A797" s="966"/>
      <c r="B797" s="967"/>
      <c r="C797" s="967">
        <v>752</v>
      </c>
      <c r="D797" s="967"/>
      <c r="E797" s="968"/>
      <c r="F797" s="968"/>
      <c r="G797" s="968"/>
      <c r="H797" s="968"/>
      <c r="I797" s="968"/>
      <c r="J797" s="968"/>
      <c r="K797" s="967"/>
      <c r="L797" s="967"/>
      <c r="M797" s="967"/>
      <c r="N797" s="967"/>
      <c r="O797" s="1007"/>
      <c r="P797" s="1007"/>
      <c r="Q797" s="1008"/>
    </row>
    <row r="798" spans="1:17" hidden="1">
      <c r="A798" s="966"/>
      <c r="B798" s="967"/>
      <c r="C798" s="967">
        <v>753</v>
      </c>
      <c r="D798" s="967"/>
      <c r="E798" s="968"/>
      <c r="F798" s="968"/>
      <c r="G798" s="968"/>
      <c r="H798" s="968"/>
      <c r="I798" s="968"/>
      <c r="J798" s="968"/>
      <c r="K798" s="967"/>
      <c r="L798" s="967"/>
      <c r="M798" s="967"/>
      <c r="N798" s="967"/>
      <c r="O798" s="1007"/>
      <c r="P798" s="1007"/>
      <c r="Q798" s="1008"/>
    </row>
    <row r="799" spans="1:17" hidden="1">
      <c r="A799" s="966"/>
      <c r="B799" s="967"/>
      <c r="C799" s="967">
        <v>754</v>
      </c>
      <c r="D799" s="967"/>
      <c r="E799" s="968"/>
      <c r="F799" s="968"/>
      <c r="G799" s="968"/>
      <c r="H799" s="968"/>
      <c r="I799" s="968"/>
      <c r="J799" s="968"/>
      <c r="K799" s="967"/>
      <c r="L799" s="967"/>
      <c r="M799" s="967"/>
      <c r="N799" s="967"/>
      <c r="O799" s="1007"/>
      <c r="P799" s="1007"/>
      <c r="Q799" s="1008"/>
    </row>
    <row r="800" spans="1:17" hidden="1">
      <c r="A800" s="966"/>
      <c r="B800" s="967"/>
      <c r="C800" s="967">
        <v>755</v>
      </c>
      <c r="D800" s="967"/>
      <c r="E800" s="968"/>
      <c r="F800" s="968"/>
      <c r="G800" s="968"/>
      <c r="H800" s="968"/>
      <c r="I800" s="968"/>
      <c r="J800" s="968"/>
      <c r="K800" s="967"/>
      <c r="L800" s="967"/>
      <c r="M800" s="967"/>
      <c r="N800" s="967"/>
      <c r="O800" s="1007"/>
      <c r="P800" s="1007"/>
      <c r="Q800" s="1008"/>
    </row>
    <row r="801" spans="1:17" hidden="1">
      <c r="A801" s="966"/>
      <c r="B801" s="967"/>
      <c r="C801" s="967">
        <v>756</v>
      </c>
      <c r="D801" s="967"/>
      <c r="E801" s="968"/>
      <c r="F801" s="968"/>
      <c r="G801" s="968"/>
      <c r="H801" s="968"/>
      <c r="I801" s="968"/>
      <c r="J801" s="968"/>
      <c r="K801" s="967"/>
      <c r="L801" s="967"/>
      <c r="M801" s="967"/>
      <c r="N801" s="967"/>
      <c r="O801" s="1007"/>
      <c r="P801" s="1007"/>
      <c r="Q801" s="1008"/>
    </row>
    <row r="802" spans="1:17" hidden="1">
      <c r="A802" s="966"/>
      <c r="B802" s="967"/>
      <c r="C802" s="967">
        <v>757</v>
      </c>
      <c r="D802" s="967"/>
      <c r="E802" s="968"/>
      <c r="F802" s="968"/>
      <c r="G802" s="968"/>
      <c r="H802" s="968"/>
      <c r="I802" s="968"/>
      <c r="J802" s="968"/>
      <c r="K802" s="967"/>
      <c r="L802" s="967"/>
      <c r="M802" s="967"/>
      <c r="N802" s="967"/>
      <c r="O802" s="1007"/>
      <c r="P802" s="1007"/>
      <c r="Q802" s="1008"/>
    </row>
    <row r="803" spans="1:17" hidden="1">
      <c r="A803" s="966"/>
      <c r="B803" s="967"/>
      <c r="C803" s="967">
        <v>758</v>
      </c>
      <c r="D803" s="967"/>
      <c r="E803" s="968"/>
      <c r="F803" s="968"/>
      <c r="G803" s="968"/>
      <c r="H803" s="968"/>
      <c r="I803" s="968"/>
      <c r="J803" s="968"/>
      <c r="K803" s="967"/>
      <c r="L803" s="967"/>
      <c r="M803" s="967"/>
      <c r="N803" s="967"/>
      <c r="O803" s="1007"/>
      <c r="P803" s="1007"/>
      <c r="Q803" s="1008"/>
    </row>
    <row r="804" spans="1:17" hidden="1">
      <c r="A804" s="966"/>
      <c r="B804" s="967"/>
      <c r="C804" s="967">
        <v>759</v>
      </c>
      <c r="D804" s="967"/>
      <c r="E804" s="968"/>
      <c r="F804" s="968"/>
      <c r="G804" s="968"/>
      <c r="H804" s="968"/>
      <c r="I804" s="968"/>
      <c r="J804" s="968"/>
      <c r="K804" s="967"/>
      <c r="L804" s="967"/>
      <c r="M804" s="967"/>
      <c r="N804" s="967"/>
      <c r="O804" s="1007"/>
      <c r="P804" s="1007"/>
      <c r="Q804" s="1008"/>
    </row>
    <row r="805" spans="1:17" hidden="1">
      <c r="A805" s="966"/>
      <c r="B805" s="967"/>
      <c r="C805" s="967">
        <v>760</v>
      </c>
      <c r="D805" s="967"/>
      <c r="E805" s="968"/>
      <c r="F805" s="968"/>
      <c r="G805" s="968"/>
      <c r="H805" s="968"/>
      <c r="I805" s="968"/>
      <c r="J805" s="968"/>
      <c r="K805" s="967"/>
      <c r="L805" s="967"/>
      <c r="M805" s="967"/>
      <c r="N805" s="967"/>
      <c r="O805" s="1007"/>
      <c r="P805" s="1007"/>
      <c r="Q805" s="1008"/>
    </row>
    <row r="806" spans="1:17" hidden="1">
      <c r="A806" s="966"/>
      <c r="B806" s="967"/>
      <c r="C806" s="967">
        <v>761</v>
      </c>
      <c r="D806" s="967"/>
      <c r="E806" s="968"/>
      <c r="F806" s="968"/>
      <c r="G806" s="968"/>
      <c r="H806" s="968"/>
      <c r="I806" s="968"/>
      <c r="J806" s="968"/>
      <c r="K806" s="967"/>
      <c r="L806" s="967"/>
      <c r="M806" s="967"/>
      <c r="N806" s="967"/>
      <c r="O806" s="1007"/>
      <c r="P806" s="1007"/>
      <c r="Q806" s="1008"/>
    </row>
    <row r="807" spans="1:17" hidden="1">
      <c r="A807" s="966"/>
      <c r="B807" s="967"/>
      <c r="C807" s="967">
        <v>762</v>
      </c>
      <c r="D807" s="967"/>
      <c r="E807" s="968"/>
      <c r="F807" s="968"/>
      <c r="G807" s="968"/>
      <c r="H807" s="968"/>
      <c r="I807" s="968"/>
      <c r="J807" s="968"/>
      <c r="K807" s="967"/>
      <c r="L807" s="967"/>
      <c r="M807" s="967"/>
      <c r="N807" s="967"/>
      <c r="O807" s="1007"/>
      <c r="P807" s="1007"/>
      <c r="Q807" s="1008"/>
    </row>
    <row r="808" spans="1:17" hidden="1">
      <c r="A808" s="966"/>
      <c r="B808" s="967"/>
      <c r="C808" s="967">
        <v>763</v>
      </c>
      <c r="D808" s="967"/>
      <c r="E808" s="968"/>
      <c r="F808" s="968"/>
      <c r="G808" s="968"/>
      <c r="H808" s="968"/>
      <c r="I808" s="968"/>
      <c r="J808" s="968"/>
      <c r="K808" s="967"/>
      <c r="L808" s="967"/>
      <c r="M808" s="967"/>
      <c r="N808" s="967"/>
      <c r="O808" s="1007"/>
      <c r="P808" s="1007"/>
      <c r="Q808" s="1008"/>
    </row>
    <row r="809" spans="1:17" hidden="1">
      <c r="A809" s="966"/>
      <c r="B809" s="967"/>
      <c r="C809" s="967">
        <v>764</v>
      </c>
      <c r="D809" s="967"/>
      <c r="E809" s="968"/>
      <c r="F809" s="968"/>
      <c r="G809" s="968"/>
      <c r="H809" s="968"/>
      <c r="I809" s="968"/>
      <c r="J809" s="968"/>
      <c r="K809" s="967"/>
      <c r="L809" s="967"/>
      <c r="M809" s="967"/>
      <c r="N809" s="967"/>
      <c r="O809" s="1007"/>
      <c r="P809" s="1007"/>
      <c r="Q809" s="1008"/>
    </row>
    <row r="810" spans="1:17" hidden="1">
      <c r="A810" s="966"/>
      <c r="B810" s="967"/>
      <c r="C810" s="967">
        <v>765</v>
      </c>
      <c r="D810" s="967"/>
      <c r="E810" s="968"/>
      <c r="F810" s="968"/>
      <c r="G810" s="968"/>
      <c r="H810" s="968"/>
      <c r="I810" s="968"/>
      <c r="J810" s="968"/>
      <c r="K810" s="967"/>
      <c r="L810" s="967"/>
      <c r="M810" s="967"/>
      <c r="N810" s="967"/>
      <c r="O810" s="1007"/>
      <c r="P810" s="1007"/>
      <c r="Q810" s="1008"/>
    </row>
    <row r="811" spans="1:17" hidden="1">
      <c r="A811" s="966"/>
      <c r="B811" s="967"/>
      <c r="C811" s="967">
        <v>766</v>
      </c>
      <c r="D811" s="967"/>
      <c r="E811" s="968"/>
      <c r="F811" s="968"/>
      <c r="G811" s="968"/>
      <c r="H811" s="968"/>
      <c r="I811" s="968"/>
      <c r="J811" s="968"/>
      <c r="K811" s="967"/>
      <c r="L811" s="967"/>
      <c r="M811" s="967"/>
      <c r="N811" s="967"/>
      <c r="O811" s="1007"/>
      <c r="P811" s="1007"/>
      <c r="Q811" s="1008"/>
    </row>
    <row r="812" spans="1:17" hidden="1">
      <c r="A812" s="966"/>
      <c r="B812" s="967"/>
      <c r="C812" s="967">
        <v>767</v>
      </c>
      <c r="D812" s="967"/>
      <c r="E812" s="968"/>
      <c r="F812" s="968"/>
      <c r="G812" s="968"/>
      <c r="H812" s="968"/>
      <c r="I812" s="968"/>
      <c r="J812" s="968"/>
      <c r="K812" s="967"/>
      <c r="L812" s="967"/>
      <c r="M812" s="967"/>
      <c r="N812" s="967"/>
      <c r="O812" s="1007"/>
      <c r="P812" s="1007"/>
      <c r="Q812" s="1008"/>
    </row>
    <row r="813" spans="1:17" hidden="1">
      <c r="A813" s="966"/>
      <c r="B813" s="967"/>
      <c r="C813" s="967">
        <v>768</v>
      </c>
      <c r="D813" s="967"/>
      <c r="E813" s="968"/>
      <c r="F813" s="968"/>
      <c r="G813" s="968"/>
      <c r="H813" s="968"/>
      <c r="I813" s="968"/>
      <c r="J813" s="968"/>
      <c r="K813" s="967"/>
      <c r="L813" s="967"/>
      <c r="M813" s="967"/>
      <c r="N813" s="967"/>
      <c r="O813" s="1007"/>
      <c r="P813" s="1007"/>
      <c r="Q813" s="1008"/>
    </row>
    <row r="814" spans="1:17" hidden="1">
      <c r="A814" s="966"/>
      <c r="B814" s="967"/>
      <c r="C814" s="967">
        <v>769</v>
      </c>
      <c r="D814" s="967"/>
      <c r="E814" s="968"/>
      <c r="F814" s="968"/>
      <c r="G814" s="968"/>
      <c r="H814" s="968"/>
      <c r="I814" s="968"/>
      <c r="J814" s="968"/>
      <c r="K814" s="967"/>
      <c r="L814" s="967"/>
      <c r="M814" s="967"/>
      <c r="N814" s="967"/>
      <c r="O814" s="1007"/>
      <c r="P814" s="1007"/>
      <c r="Q814" s="1008"/>
    </row>
    <row r="815" spans="1:17" hidden="1">
      <c r="A815" s="966"/>
      <c r="B815" s="967"/>
      <c r="C815" s="967">
        <v>770</v>
      </c>
      <c r="D815" s="967"/>
      <c r="E815" s="968"/>
      <c r="F815" s="968"/>
      <c r="G815" s="968"/>
      <c r="H815" s="968"/>
      <c r="I815" s="968"/>
      <c r="J815" s="968"/>
      <c r="K815" s="967"/>
      <c r="L815" s="967"/>
      <c r="M815" s="967"/>
      <c r="N815" s="967"/>
      <c r="O815" s="1007"/>
      <c r="P815" s="1007"/>
      <c r="Q815" s="1008"/>
    </row>
    <row r="816" spans="1:17" hidden="1">
      <c r="A816" s="966"/>
      <c r="B816" s="967"/>
      <c r="C816" s="967">
        <v>771</v>
      </c>
      <c r="D816" s="967"/>
      <c r="E816" s="968"/>
      <c r="F816" s="968"/>
      <c r="G816" s="968"/>
      <c r="H816" s="968"/>
      <c r="I816" s="968"/>
      <c r="J816" s="968"/>
      <c r="K816" s="967"/>
      <c r="L816" s="967"/>
      <c r="M816" s="967"/>
      <c r="N816" s="967"/>
      <c r="O816" s="1007"/>
      <c r="P816" s="1007"/>
      <c r="Q816" s="1008"/>
    </row>
    <row r="817" spans="1:17" hidden="1">
      <c r="A817" s="966"/>
      <c r="B817" s="967"/>
      <c r="C817" s="967">
        <v>772</v>
      </c>
      <c r="D817" s="967"/>
      <c r="E817" s="968"/>
      <c r="F817" s="968"/>
      <c r="G817" s="968"/>
      <c r="H817" s="968"/>
      <c r="I817" s="968"/>
      <c r="J817" s="968"/>
      <c r="K817" s="967"/>
      <c r="L817" s="967"/>
      <c r="M817" s="967"/>
      <c r="N817" s="967"/>
      <c r="O817" s="1007"/>
      <c r="P817" s="1007"/>
      <c r="Q817" s="1008"/>
    </row>
    <row r="818" spans="1:17" hidden="1">
      <c r="A818" s="966"/>
      <c r="B818" s="967"/>
      <c r="C818" s="967">
        <v>773</v>
      </c>
      <c r="D818" s="967"/>
      <c r="E818" s="968"/>
      <c r="F818" s="968"/>
      <c r="G818" s="968"/>
      <c r="H818" s="968"/>
      <c r="I818" s="968"/>
      <c r="J818" s="968"/>
      <c r="K818" s="967"/>
      <c r="L818" s="967"/>
      <c r="M818" s="967"/>
      <c r="N818" s="967"/>
      <c r="O818" s="1007"/>
      <c r="P818" s="1007"/>
      <c r="Q818" s="1008"/>
    </row>
    <row r="819" spans="1:17" hidden="1">
      <c r="A819" s="966"/>
      <c r="B819" s="967"/>
      <c r="C819" s="967">
        <v>774</v>
      </c>
      <c r="D819" s="967"/>
      <c r="E819" s="968"/>
      <c r="F819" s="968"/>
      <c r="G819" s="968"/>
      <c r="H819" s="968"/>
      <c r="I819" s="968"/>
      <c r="J819" s="968"/>
      <c r="K819" s="967"/>
      <c r="L819" s="967"/>
      <c r="M819" s="967"/>
      <c r="N819" s="967"/>
      <c r="O819" s="1007"/>
      <c r="P819" s="1007"/>
      <c r="Q819" s="1008"/>
    </row>
    <row r="820" spans="1:17" hidden="1">
      <c r="A820" s="966"/>
      <c r="B820" s="967"/>
      <c r="C820" s="967">
        <v>775</v>
      </c>
      <c r="D820" s="967"/>
      <c r="E820" s="968"/>
      <c r="F820" s="968"/>
      <c r="G820" s="968"/>
      <c r="H820" s="968"/>
      <c r="I820" s="968"/>
      <c r="J820" s="968"/>
      <c r="K820" s="967"/>
      <c r="L820" s="967"/>
      <c r="M820" s="967"/>
      <c r="N820" s="967"/>
      <c r="O820" s="1007"/>
      <c r="P820" s="1007"/>
      <c r="Q820" s="1008"/>
    </row>
    <row r="821" spans="1:17" hidden="1">
      <c r="A821" s="966"/>
      <c r="B821" s="967"/>
      <c r="C821" s="967">
        <v>776</v>
      </c>
      <c r="D821" s="967"/>
      <c r="E821" s="968"/>
      <c r="F821" s="968"/>
      <c r="G821" s="968"/>
      <c r="H821" s="968"/>
      <c r="I821" s="968"/>
      <c r="J821" s="968"/>
      <c r="K821" s="967"/>
      <c r="L821" s="967"/>
      <c r="M821" s="967"/>
      <c r="N821" s="967"/>
      <c r="O821" s="1007"/>
      <c r="P821" s="1007"/>
      <c r="Q821" s="1008"/>
    </row>
    <row r="822" spans="1:17" hidden="1">
      <c r="A822" s="966"/>
      <c r="B822" s="967"/>
      <c r="C822" s="967">
        <v>777</v>
      </c>
      <c r="D822" s="967"/>
      <c r="E822" s="968"/>
      <c r="F822" s="968"/>
      <c r="G822" s="968"/>
      <c r="H822" s="968"/>
      <c r="I822" s="968"/>
      <c r="J822" s="968"/>
      <c r="K822" s="967"/>
      <c r="L822" s="967"/>
      <c r="M822" s="967"/>
      <c r="N822" s="967"/>
      <c r="O822" s="1007"/>
      <c r="P822" s="1007"/>
      <c r="Q822" s="1008"/>
    </row>
    <row r="823" spans="1:17" hidden="1">
      <c r="A823" s="966"/>
      <c r="B823" s="967"/>
      <c r="C823" s="967">
        <v>778</v>
      </c>
      <c r="D823" s="967"/>
      <c r="E823" s="968"/>
      <c r="F823" s="968"/>
      <c r="G823" s="968"/>
      <c r="H823" s="968"/>
      <c r="I823" s="968"/>
      <c r="J823" s="968"/>
      <c r="K823" s="967"/>
      <c r="L823" s="967"/>
      <c r="M823" s="967"/>
      <c r="N823" s="967"/>
      <c r="O823" s="1007"/>
      <c r="P823" s="1007"/>
      <c r="Q823" s="1008"/>
    </row>
    <row r="824" spans="1:17" hidden="1">
      <c r="A824" s="966"/>
      <c r="B824" s="967"/>
      <c r="C824" s="967">
        <v>779</v>
      </c>
      <c r="D824" s="967"/>
      <c r="E824" s="968"/>
      <c r="F824" s="968"/>
      <c r="G824" s="968"/>
      <c r="H824" s="968"/>
      <c r="I824" s="968"/>
      <c r="J824" s="968"/>
      <c r="K824" s="967"/>
      <c r="L824" s="967"/>
      <c r="M824" s="967"/>
      <c r="N824" s="967"/>
      <c r="O824" s="1007"/>
      <c r="P824" s="1007"/>
      <c r="Q824" s="1008"/>
    </row>
    <row r="825" spans="1:17" hidden="1">
      <c r="A825" s="966"/>
      <c r="B825" s="967"/>
      <c r="C825" s="967">
        <v>780</v>
      </c>
      <c r="D825" s="967"/>
      <c r="E825" s="968"/>
      <c r="F825" s="968"/>
      <c r="G825" s="968"/>
      <c r="H825" s="968"/>
      <c r="I825" s="968"/>
      <c r="J825" s="968"/>
      <c r="K825" s="967"/>
      <c r="L825" s="967"/>
      <c r="M825" s="967"/>
      <c r="N825" s="967"/>
      <c r="O825" s="1007"/>
      <c r="P825" s="1007"/>
      <c r="Q825" s="1008"/>
    </row>
    <row r="826" spans="1:17" hidden="1">
      <c r="A826" s="966"/>
      <c r="B826" s="967"/>
      <c r="C826" s="967">
        <v>781</v>
      </c>
      <c r="D826" s="967"/>
      <c r="E826" s="968"/>
      <c r="F826" s="968"/>
      <c r="G826" s="968"/>
      <c r="H826" s="968"/>
      <c r="I826" s="968"/>
      <c r="J826" s="968"/>
      <c r="K826" s="967"/>
      <c r="L826" s="967"/>
      <c r="M826" s="967"/>
      <c r="N826" s="967"/>
      <c r="O826" s="1007"/>
      <c r="P826" s="1007"/>
      <c r="Q826" s="1008"/>
    </row>
    <row r="827" spans="1:17" hidden="1">
      <c r="A827" s="966"/>
      <c r="B827" s="967"/>
      <c r="C827" s="967">
        <v>782</v>
      </c>
      <c r="D827" s="967"/>
      <c r="E827" s="968"/>
      <c r="F827" s="968"/>
      <c r="G827" s="968"/>
      <c r="H827" s="968"/>
      <c r="I827" s="968"/>
      <c r="J827" s="968"/>
      <c r="K827" s="967"/>
      <c r="L827" s="967"/>
      <c r="M827" s="967"/>
      <c r="N827" s="967"/>
      <c r="O827" s="1007"/>
      <c r="P827" s="1007"/>
      <c r="Q827" s="1008"/>
    </row>
    <row r="828" spans="1:17" hidden="1">
      <c r="A828" s="966"/>
      <c r="B828" s="967"/>
      <c r="C828" s="967">
        <v>783</v>
      </c>
      <c r="D828" s="967"/>
      <c r="E828" s="968"/>
      <c r="F828" s="968"/>
      <c r="G828" s="968"/>
      <c r="H828" s="968"/>
      <c r="I828" s="968"/>
      <c r="J828" s="968"/>
      <c r="K828" s="967"/>
      <c r="L828" s="967"/>
      <c r="M828" s="967"/>
      <c r="N828" s="967"/>
      <c r="O828" s="1007"/>
      <c r="P828" s="1007"/>
      <c r="Q828" s="1008"/>
    </row>
    <row r="829" spans="1:17" hidden="1">
      <c r="A829" s="966"/>
      <c r="B829" s="967"/>
      <c r="C829" s="967">
        <v>784</v>
      </c>
      <c r="D829" s="967"/>
      <c r="E829" s="968"/>
      <c r="F829" s="968"/>
      <c r="G829" s="968"/>
      <c r="H829" s="968"/>
      <c r="I829" s="968"/>
      <c r="J829" s="968"/>
      <c r="K829" s="967"/>
      <c r="L829" s="967"/>
      <c r="M829" s="967"/>
      <c r="N829" s="967"/>
      <c r="O829" s="1007"/>
      <c r="P829" s="1007"/>
      <c r="Q829" s="1008"/>
    </row>
    <row r="830" spans="1:17" hidden="1">
      <c r="A830" s="966"/>
      <c r="B830" s="967"/>
      <c r="C830" s="967">
        <v>785</v>
      </c>
      <c r="D830" s="967"/>
      <c r="E830" s="968"/>
      <c r="F830" s="968"/>
      <c r="G830" s="968"/>
      <c r="H830" s="968"/>
      <c r="I830" s="968"/>
      <c r="J830" s="968"/>
      <c r="K830" s="967"/>
      <c r="L830" s="967"/>
      <c r="M830" s="967"/>
      <c r="N830" s="967"/>
      <c r="O830" s="1007"/>
      <c r="P830" s="1007"/>
      <c r="Q830" s="1008"/>
    </row>
    <row r="831" spans="1:17" hidden="1">
      <c r="A831" s="966"/>
      <c r="B831" s="967"/>
      <c r="C831" s="967">
        <v>786</v>
      </c>
      <c r="D831" s="967"/>
      <c r="E831" s="968"/>
      <c r="F831" s="968"/>
      <c r="G831" s="968"/>
      <c r="H831" s="968"/>
      <c r="I831" s="968"/>
      <c r="J831" s="968"/>
      <c r="K831" s="967"/>
      <c r="L831" s="967"/>
      <c r="M831" s="967"/>
      <c r="N831" s="967"/>
      <c r="O831" s="1007"/>
      <c r="P831" s="1007"/>
      <c r="Q831" s="1008"/>
    </row>
    <row r="832" spans="1:17" hidden="1">
      <c r="A832" s="966"/>
      <c r="B832" s="967"/>
      <c r="C832" s="967">
        <v>787</v>
      </c>
      <c r="D832" s="967"/>
      <c r="E832" s="968"/>
      <c r="F832" s="968"/>
      <c r="G832" s="968"/>
      <c r="H832" s="968"/>
      <c r="I832" s="968"/>
      <c r="J832" s="968"/>
      <c r="K832" s="967"/>
      <c r="L832" s="967"/>
      <c r="M832" s="967"/>
      <c r="N832" s="967"/>
      <c r="O832" s="1007"/>
      <c r="P832" s="1007"/>
      <c r="Q832" s="1008"/>
    </row>
    <row r="833" spans="1:17" hidden="1">
      <c r="A833" s="966"/>
      <c r="B833" s="967"/>
      <c r="C833" s="967">
        <v>788</v>
      </c>
      <c r="D833" s="967"/>
      <c r="E833" s="968"/>
      <c r="F833" s="968"/>
      <c r="G833" s="968"/>
      <c r="H833" s="968"/>
      <c r="I833" s="968"/>
      <c r="J833" s="968"/>
      <c r="K833" s="967"/>
      <c r="L833" s="967"/>
      <c r="M833" s="967"/>
      <c r="N833" s="967"/>
      <c r="O833" s="1007"/>
      <c r="P833" s="1007"/>
      <c r="Q833" s="1008"/>
    </row>
    <row r="834" spans="1:17" hidden="1">
      <c r="A834" s="966"/>
      <c r="B834" s="967"/>
      <c r="C834" s="967">
        <v>789</v>
      </c>
      <c r="D834" s="967"/>
      <c r="E834" s="968"/>
      <c r="F834" s="968"/>
      <c r="G834" s="968"/>
      <c r="H834" s="968"/>
      <c r="I834" s="968"/>
      <c r="J834" s="968"/>
      <c r="K834" s="967"/>
      <c r="L834" s="967"/>
      <c r="M834" s="967"/>
      <c r="N834" s="967"/>
      <c r="O834" s="1007"/>
      <c r="P834" s="1007"/>
      <c r="Q834" s="1008"/>
    </row>
    <row r="835" spans="1:17" hidden="1">
      <c r="A835" s="966"/>
      <c r="B835" s="967"/>
      <c r="C835" s="967">
        <v>790</v>
      </c>
      <c r="D835" s="967"/>
      <c r="E835" s="968"/>
      <c r="F835" s="968"/>
      <c r="G835" s="968"/>
      <c r="H835" s="968"/>
      <c r="I835" s="968"/>
      <c r="J835" s="968"/>
      <c r="K835" s="967"/>
      <c r="L835" s="967"/>
      <c r="M835" s="967"/>
      <c r="N835" s="967"/>
      <c r="O835" s="1007"/>
      <c r="P835" s="1007"/>
      <c r="Q835" s="1008"/>
    </row>
    <row r="836" spans="1:17" hidden="1">
      <c r="A836" s="966"/>
      <c r="B836" s="967"/>
      <c r="C836" s="967">
        <v>791</v>
      </c>
      <c r="D836" s="967"/>
      <c r="E836" s="968"/>
      <c r="F836" s="968"/>
      <c r="G836" s="968"/>
      <c r="H836" s="968"/>
      <c r="I836" s="968"/>
      <c r="J836" s="968"/>
      <c r="K836" s="967"/>
      <c r="L836" s="967"/>
      <c r="M836" s="967"/>
      <c r="N836" s="967"/>
      <c r="O836" s="1007"/>
      <c r="P836" s="1007"/>
      <c r="Q836" s="1008"/>
    </row>
    <row r="837" spans="1:17" hidden="1">
      <c r="A837" s="966"/>
      <c r="B837" s="967"/>
      <c r="C837" s="967">
        <v>792</v>
      </c>
      <c r="D837" s="967"/>
      <c r="E837" s="968"/>
      <c r="F837" s="968"/>
      <c r="G837" s="968"/>
      <c r="H837" s="968"/>
      <c r="I837" s="968"/>
      <c r="J837" s="968"/>
      <c r="K837" s="967"/>
      <c r="L837" s="967"/>
      <c r="M837" s="967"/>
      <c r="N837" s="967"/>
      <c r="O837" s="1007"/>
      <c r="P837" s="1007"/>
      <c r="Q837" s="1008"/>
    </row>
    <row r="838" spans="1:17" hidden="1">
      <c r="A838" s="966"/>
      <c r="B838" s="967"/>
      <c r="C838" s="967">
        <v>793</v>
      </c>
      <c r="D838" s="967"/>
      <c r="E838" s="968"/>
      <c r="F838" s="968"/>
      <c r="G838" s="968"/>
      <c r="H838" s="968"/>
      <c r="I838" s="968"/>
      <c r="J838" s="968"/>
      <c r="K838" s="967"/>
      <c r="L838" s="967"/>
      <c r="M838" s="967"/>
      <c r="N838" s="967"/>
      <c r="O838" s="1007"/>
      <c r="P838" s="1007"/>
      <c r="Q838" s="1008"/>
    </row>
    <row r="839" spans="1:17" hidden="1">
      <c r="A839" s="966"/>
      <c r="B839" s="967"/>
      <c r="C839" s="967">
        <v>794</v>
      </c>
      <c r="D839" s="967"/>
      <c r="E839" s="968"/>
      <c r="F839" s="968"/>
      <c r="G839" s="968"/>
      <c r="H839" s="968"/>
      <c r="I839" s="968"/>
      <c r="J839" s="968"/>
      <c r="K839" s="967"/>
      <c r="L839" s="967"/>
      <c r="M839" s="967"/>
      <c r="N839" s="967"/>
      <c r="O839" s="1007"/>
      <c r="P839" s="1007"/>
      <c r="Q839" s="1008"/>
    </row>
    <row r="840" spans="1:17" hidden="1">
      <c r="A840" s="966"/>
      <c r="B840" s="967"/>
      <c r="C840" s="967">
        <v>795</v>
      </c>
      <c r="D840" s="967"/>
      <c r="E840" s="968"/>
      <c r="F840" s="968"/>
      <c r="G840" s="968"/>
      <c r="H840" s="968"/>
      <c r="I840" s="968"/>
      <c r="J840" s="968"/>
      <c r="K840" s="967"/>
      <c r="L840" s="967"/>
      <c r="M840" s="967"/>
      <c r="N840" s="967"/>
      <c r="O840" s="1007"/>
      <c r="P840" s="1007"/>
      <c r="Q840" s="1008"/>
    </row>
    <row r="841" spans="1:17" hidden="1">
      <c r="A841" s="966"/>
      <c r="B841" s="967"/>
      <c r="C841" s="967">
        <v>796</v>
      </c>
      <c r="D841" s="967"/>
      <c r="E841" s="968"/>
      <c r="F841" s="968"/>
      <c r="G841" s="968"/>
      <c r="H841" s="968"/>
      <c r="I841" s="968"/>
      <c r="J841" s="968"/>
      <c r="K841" s="967"/>
      <c r="L841" s="967"/>
      <c r="M841" s="967"/>
      <c r="N841" s="967"/>
      <c r="O841" s="1007"/>
      <c r="P841" s="1007"/>
      <c r="Q841" s="1008"/>
    </row>
    <row r="842" spans="1:17" hidden="1">
      <c r="A842" s="966"/>
      <c r="B842" s="967"/>
      <c r="C842" s="967">
        <v>797</v>
      </c>
      <c r="D842" s="967"/>
      <c r="E842" s="968"/>
      <c r="F842" s="968"/>
      <c r="G842" s="968"/>
      <c r="H842" s="968"/>
      <c r="I842" s="968"/>
      <c r="J842" s="968"/>
      <c r="K842" s="967"/>
      <c r="L842" s="967"/>
      <c r="M842" s="967"/>
      <c r="N842" s="967"/>
      <c r="O842" s="1007"/>
      <c r="P842" s="1007"/>
      <c r="Q842" s="1008"/>
    </row>
    <row r="843" spans="1:17" hidden="1">
      <c r="A843" s="966"/>
      <c r="B843" s="967"/>
      <c r="C843" s="967">
        <v>798</v>
      </c>
      <c r="D843" s="967"/>
      <c r="E843" s="968"/>
      <c r="F843" s="968"/>
      <c r="G843" s="968"/>
      <c r="H843" s="968"/>
      <c r="I843" s="968"/>
      <c r="J843" s="968"/>
      <c r="K843" s="967"/>
      <c r="L843" s="967"/>
      <c r="M843" s="967"/>
      <c r="N843" s="967"/>
      <c r="O843" s="1007"/>
      <c r="P843" s="1007"/>
      <c r="Q843" s="1008"/>
    </row>
    <row r="844" spans="1:17" hidden="1">
      <c r="A844" s="966"/>
      <c r="B844" s="967"/>
      <c r="C844" s="967">
        <v>799</v>
      </c>
      <c r="D844" s="967"/>
      <c r="E844" s="968"/>
      <c r="F844" s="968"/>
      <c r="G844" s="968"/>
      <c r="H844" s="968"/>
      <c r="I844" s="968"/>
      <c r="J844" s="968"/>
      <c r="K844" s="967"/>
      <c r="L844" s="967"/>
      <c r="M844" s="967"/>
      <c r="N844" s="967"/>
      <c r="O844" s="1007"/>
      <c r="P844" s="1007"/>
      <c r="Q844" s="1008"/>
    </row>
    <row r="845" spans="1:17" hidden="1">
      <c r="A845" s="966"/>
      <c r="B845" s="967"/>
      <c r="C845" s="967">
        <v>800</v>
      </c>
      <c r="D845" s="967"/>
      <c r="E845" s="968"/>
      <c r="F845" s="968"/>
      <c r="G845" s="968"/>
      <c r="H845" s="968"/>
      <c r="I845" s="968"/>
      <c r="J845" s="968"/>
      <c r="K845" s="967"/>
      <c r="L845" s="967"/>
      <c r="M845" s="967"/>
      <c r="N845" s="967"/>
      <c r="O845" s="1007"/>
      <c r="P845" s="1007"/>
      <c r="Q845" s="1008"/>
    </row>
    <row r="846" spans="1:17" hidden="1">
      <c r="A846" s="966"/>
      <c r="B846" s="967"/>
      <c r="C846" s="967">
        <v>801</v>
      </c>
      <c r="D846" s="967"/>
      <c r="E846" s="968"/>
      <c r="F846" s="968"/>
      <c r="G846" s="968"/>
      <c r="H846" s="968"/>
      <c r="I846" s="968"/>
      <c r="J846" s="968"/>
      <c r="K846" s="967"/>
      <c r="L846" s="967"/>
      <c r="M846" s="967"/>
      <c r="N846" s="967"/>
      <c r="O846" s="1007"/>
      <c r="P846" s="1007"/>
      <c r="Q846" s="1008"/>
    </row>
    <row r="847" spans="1:17" hidden="1">
      <c r="A847" s="966"/>
      <c r="B847" s="967"/>
      <c r="C847" s="967">
        <v>802</v>
      </c>
      <c r="D847" s="967"/>
      <c r="E847" s="968"/>
      <c r="F847" s="968"/>
      <c r="G847" s="968"/>
      <c r="H847" s="968"/>
      <c r="I847" s="968"/>
      <c r="J847" s="968"/>
      <c r="K847" s="967"/>
      <c r="L847" s="967"/>
      <c r="M847" s="967"/>
      <c r="N847" s="967"/>
      <c r="O847" s="1007"/>
      <c r="P847" s="1007"/>
      <c r="Q847" s="1008"/>
    </row>
    <row r="848" spans="1:17" hidden="1">
      <c r="A848" s="966"/>
      <c r="B848" s="967"/>
      <c r="C848" s="967">
        <v>803</v>
      </c>
      <c r="D848" s="967"/>
      <c r="E848" s="968"/>
      <c r="F848" s="968"/>
      <c r="G848" s="968"/>
      <c r="H848" s="968"/>
      <c r="I848" s="968"/>
      <c r="J848" s="968"/>
      <c r="K848" s="967"/>
      <c r="L848" s="967"/>
      <c r="M848" s="967"/>
      <c r="N848" s="967"/>
      <c r="O848" s="1007"/>
      <c r="P848" s="1007"/>
      <c r="Q848" s="1008"/>
    </row>
    <row r="849" spans="1:17" hidden="1">
      <c r="A849" s="966"/>
      <c r="B849" s="967"/>
      <c r="C849" s="967">
        <v>804</v>
      </c>
      <c r="D849" s="967"/>
      <c r="E849" s="968"/>
      <c r="F849" s="968"/>
      <c r="G849" s="968"/>
      <c r="H849" s="968"/>
      <c r="I849" s="968"/>
      <c r="J849" s="968"/>
      <c r="K849" s="967"/>
      <c r="L849" s="967"/>
      <c r="M849" s="967"/>
      <c r="N849" s="967"/>
      <c r="O849" s="1007"/>
      <c r="P849" s="1007"/>
      <c r="Q849" s="1008"/>
    </row>
    <row r="850" spans="1:17" hidden="1">
      <c r="A850" s="966"/>
      <c r="B850" s="967"/>
      <c r="C850" s="967">
        <v>805</v>
      </c>
      <c r="D850" s="967"/>
      <c r="E850" s="968"/>
      <c r="F850" s="968"/>
      <c r="G850" s="968"/>
      <c r="H850" s="968"/>
      <c r="I850" s="968"/>
      <c r="J850" s="968"/>
      <c r="K850" s="967"/>
      <c r="L850" s="967"/>
      <c r="M850" s="967"/>
      <c r="N850" s="967"/>
      <c r="O850" s="1007"/>
      <c r="P850" s="1007"/>
      <c r="Q850" s="1008"/>
    </row>
    <row r="851" spans="1:17" hidden="1">
      <c r="A851" s="966"/>
      <c r="B851" s="967"/>
      <c r="C851" s="967">
        <v>806</v>
      </c>
      <c r="D851" s="967"/>
      <c r="E851" s="968"/>
      <c r="F851" s="968"/>
      <c r="G851" s="968"/>
      <c r="H851" s="968"/>
      <c r="I851" s="968"/>
      <c r="J851" s="968"/>
      <c r="K851" s="967"/>
      <c r="L851" s="967"/>
      <c r="M851" s="967"/>
      <c r="N851" s="967"/>
      <c r="O851" s="1007"/>
      <c r="P851" s="1007"/>
      <c r="Q851" s="1008"/>
    </row>
    <row r="852" spans="1:17" hidden="1">
      <c r="A852" s="966"/>
      <c r="B852" s="967"/>
      <c r="C852" s="967">
        <v>807</v>
      </c>
      <c r="D852" s="967"/>
      <c r="E852" s="968"/>
      <c r="F852" s="968"/>
      <c r="G852" s="968"/>
      <c r="H852" s="968"/>
      <c r="I852" s="968"/>
      <c r="J852" s="968"/>
      <c r="K852" s="967"/>
      <c r="L852" s="967"/>
      <c r="M852" s="967"/>
      <c r="N852" s="967"/>
      <c r="O852" s="1007"/>
      <c r="P852" s="1007"/>
      <c r="Q852" s="1008"/>
    </row>
    <row r="853" spans="1:17" hidden="1">
      <c r="A853" s="966"/>
      <c r="B853" s="967"/>
      <c r="C853" s="967">
        <v>808</v>
      </c>
      <c r="D853" s="967"/>
      <c r="E853" s="968"/>
      <c r="F853" s="968"/>
      <c r="G853" s="968"/>
      <c r="H853" s="968"/>
      <c r="I853" s="968"/>
      <c r="J853" s="968"/>
      <c r="K853" s="967"/>
      <c r="L853" s="967"/>
      <c r="M853" s="967"/>
      <c r="N853" s="967"/>
      <c r="O853" s="1007"/>
      <c r="P853" s="1007"/>
      <c r="Q853" s="1008"/>
    </row>
    <row r="854" spans="1:17" hidden="1">
      <c r="A854" s="966"/>
      <c r="B854" s="967"/>
      <c r="C854" s="967">
        <v>809</v>
      </c>
      <c r="D854" s="967"/>
      <c r="E854" s="968"/>
      <c r="F854" s="968"/>
      <c r="G854" s="968"/>
      <c r="H854" s="968"/>
      <c r="I854" s="968"/>
      <c r="J854" s="968"/>
      <c r="K854" s="967"/>
      <c r="L854" s="967"/>
      <c r="M854" s="967"/>
      <c r="N854" s="967"/>
      <c r="O854" s="1007"/>
      <c r="P854" s="1007"/>
      <c r="Q854" s="1008"/>
    </row>
    <row r="855" spans="1:17" hidden="1">
      <c r="A855" s="966"/>
      <c r="B855" s="967"/>
      <c r="C855" s="967">
        <v>810</v>
      </c>
      <c r="D855" s="967"/>
      <c r="E855" s="968"/>
      <c r="F855" s="968"/>
      <c r="G855" s="968"/>
      <c r="H855" s="968"/>
      <c r="I855" s="968"/>
      <c r="J855" s="968"/>
      <c r="K855" s="967"/>
      <c r="L855" s="967"/>
      <c r="M855" s="967"/>
      <c r="N855" s="967"/>
      <c r="O855" s="1007"/>
      <c r="P855" s="1007"/>
      <c r="Q855" s="1008"/>
    </row>
    <row r="856" spans="1:17" hidden="1">
      <c r="A856" s="966"/>
      <c r="B856" s="967"/>
      <c r="C856" s="967">
        <v>811</v>
      </c>
      <c r="D856" s="967"/>
      <c r="E856" s="968"/>
      <c r="F856" s="968"/>
      <c r="G856" s="968"/>
      <c r="H856" s="968"/>
      <c r="I856" s="968"/>
      <c r="J856" s="968"/>
      <c r="K856" s="967"/>
      <c r="L856" s="967"/>
      <c r="M856" s="967"/>
      <c r="N856" s="967"/>
      <c r="O856" s="1007"/>
      <c r="P856" s="1007"/>
      <c r="Q856" s="1008"/>
    </row>
    <row r="857" spans="1:17" hidden="1">
      <c r="A857" s="966"/>
      <c r="B857" s="967"/>
      <c r="C857" s="967">
        <v>812</v>
      </c>
      <c r="D857" s="967"/>
      <c r="E857" s="968"/>
      <c r="F857" s="968"/>
      <c r="G857" s="968"/>
      <c r="H857" s="968"/>
      <c r="I857" s="968"/>
      <c r="J857" s="968"/>
      <c r="K857" s="967"/>
      <c r="L857" s="967"/>
      <c r="M857" s="967"/>
      <c r="N857" s="967"/>
      <c r="O857" s="1007"/>
      <c r="P857" s="1007"/>
      <c r="Q857" s="1008"/>
    </row>
    <row r="858" spans="1:17" hidden="1">
      <c r="A858" s="966"/>
      <c r="B858" s="967"/>
      <c r="C858" s="967">
        <v>813</v>
      </c>
      <c r="D858" s="967"/>
      <c r="E858" s="968"/>
      <c r="F858" s="968"/>
      <c r="G858" s="968"/>
      <c r="H858" s="968"/>
      <c r="I858" s="968"/>
      <c r="J858" s="968"/>
      <c r="K858" s="967"/>
      <c r="L858" s="967"/>
      <c r="M858" s="967"/>
      <c r="N858" s="967"/>
      <c r="O858" s="1007"/>
      <c r="P858" s="1007"/>
      <c r="Q858" s="1008"/>
    </row>
    <row r="859" spans="1:17" hidden="1">
      <c r="A859" s="966"/>
      <c r="B859" s="967"/>
      <c r="C859" s="967">
        <v>814</v>
      </c>
      <c r="D859" s="967"/>
      <c r="E859" s="968"/>
      <c r="F859" s="968"/>
      <c r="G859" s="968"/>
      <c r="H859" s="968"/>
      <c r="I859" s="968"/>
      <c r="J859" s="968"/>
      <c r="K859" s="967"/>
      <c r="L859" s="967"/>
      <c r="M859" s="967"/>
      <c r="N859" s="967"/>
      <c r="O859" s="1007"/>
      <c r="P859" s="1007"/>
      <c r="Q859" s="1008"/>
    </row>
    <row r="860" spans="1:17" hidden="1">
      <c r="A860" s="966"/>
      <c r="B860" s="967"/>
      <c r="C860" s="967">
        <v>815</v>
      </c>
      <c r="D860" s="967"/>
      <c r="E860" s="968"/>
      <c r="F860" s="968"/>
      <c r="G860" s="968"/>
      <c r="H860" s="968"/>
      <c r="I860" s="968"/>
      <c r="J860" s="968"/>
      <c r="K860" s="967"/>
      <c r="L860" s="967"/>
      <c r="M860" s="967"/>
      <c r="N860" s="967"/>
      <c r="O860" s="1007"/>
      <c r="P860" s="1007"/>
      <c r="Q860" s="1008"/>
    </row>
    <row r="861" spans="1:17" hidden="1">
      <c r="A861" s="966"/>
      <c r="B861" s="967"/>
      <c r="C861" s="967">
        <v>816</v>
      </c>
      <c r="D861" s="967"/>
      <c r="E861" s="968"/>
      <c r="F861" s="968"/>
      <c r="G861" s="968"/>
      <c r="H861" s="968"/>
      <c r="I861" s="968"/>
      <c r="J861" s="968"/>
      <c r="K861" s="967"/>
      <c r="L861" s="967"/>
      <c r="M861" s="967"/>
      <c r="N861" s="967"/>
      <c r="O861" s="1007"/>
      <c r="P861" s="1007"/>
      <c r="Q861" s="1008"/>
    </row>
    <row r="862" spans="1:17" hidden="1">
      <c r="A862" s="966"/>
      <c r="B862" s="967"/>
      <c r="C862" s="967">
        <v>817</v>
      </c>
      <c r="D862" s="967"/>
      <c r="E862" s="968"/>
      <c r="F862" s="968"/>
      <c r="G862" s="968"/>
      <c r="H862" s="968"/>
      <c r="I862" s="968"/>
      <c r="J862" s="968"/>
      <c r="K862" s="967"/>
      <c r="L862" s="967"/>
      <c r="M862" s="967"/>
      <c r="N862" s="967"/>
      <c r="O862" s="1007"/>
      <c r="P862" s="1007"/>
      <c r="Q862" s="1008"/>
    </row>
    <row r="863" spans="1:17" hidden="1">
      <c r="A863" s="966"/>
      <c r="B863" s="967"/>
      <c r="C863" s="967">
        <v>818</v>
      </c>
      <c r="D863" s="967"/>
      <c r="E863" s="968"/>
      <c r="F863" s="968"/>
      <c r="G863" s="968"/>
      <c r="H863" s="968"/>
      <c r="I863" s="968"/>
      <c r="J863" s="968"/>
      <c r="K863" s="967"/>
      <c r="L863" s="967"/>
      <c r="M863" s="967"/>
      <c r="N863" s="967"/>
      <c r="O863" s="1007"/>
      <c r="P863" s="1007"/>
      <c r="Q863" s="1008"/>
    </row>
    <row r="864" spans="1:17" hidden="1">
      <c r="A864" s="966"/>
      <c r="B864" s="967"/>
      <c r="C864" s="967">
        <v>819</v>
      </c>
      <c r="D864" s="967"/>
      <c r="E864" s="968"/>
      <c r="F864" s="968"/>
      <c r="G864" s="968"/>
      <c r="H864" s="968"/>
      <c r="I864" s="968"/>
      <c r="J864" s="968"/>
      <c r="K864" s="967"/>
      <c r="L864" s="967"/>
      <c r="M864" s="967"/>
      <c r="N864" s="967"/>
      <c r="O864" s="1007"/>
      <c r="P864" s="1007"/>
      <c r="Q864" s="1008"/>
    </row>
    <row r="865" spans="1:17" hidden="1">
      <c r="A865" s="966"/>
      <c r="B865" s="967"/>
      <c r="C865" s="967">
        <v>820</v>
      </c>
      <c r="D865" s="967"/>
      <c r="E865" s="968"/>
      <c r="F865" s="968"/>
      <c r="G865" s="968"/>
      <c r="H865" s="968"/>
      <c r="I865" s="968"/>
      <c r="J865" s="968"/>
      <c r="K865" s="967"/>
      <c r="L865" s="967"/>
      <c r="M865" s="967"/>
      <c r="N865" s="967"/>
      <c r="O865" s="1007"/>
      <c r="P865" s="1007"/>
      <c r="Q865" s="1008"/>
    </row>
    <row r="866" spans="1:17" hidden="1">
      <c r="A866" s="966"/>
      <c r="B866" s="967"/>
      <c r="C866" s="967">
        <v>821</v>
      </c>
      <c r="D866" s="967"/>
      <c r="E866" s="968"/>
      <c r="F866" s="968"/>
      <c r="G866" s="968"/>
      <c r="H866" s="968"/>
      <c r="I866" s="968"/>
      <c r="J866" s="968"/>
      <c r="K866" s="967"/>
      <c r="L866" s="967"/>
      <c r="M866" s="967"/>
      <c r="N866" s="967"/>
      <c r="O866" s="1007"/>
      <c r="P866" s="1007"/>
      <c r="Q866" s="1008"/>
    </row>
    <row r="867" spans="1:17" hidden="1">
      <c r="A867" s="966"/>
      <c r="B867" s="967"/>
      <c r="C867" s="967">
        <v>822</v>
      </c>
      <c r="D867" s="967"/>
      <c r="E867" s="968"/>
      <c r="F867" s="968"/>
      <c r="G867" s="968"/>
      <c r="H867" s="968"/>
      <c r="I867" s="968"/>
      <c r="J867" s="968"/>
      <c r="K867" s="967"/>
      <c r="L867" s="967"/>
      <c r="M867" s="967"/>
      <c r="N867" s="967"/>
      <c r="O867" s="1007"/>
      <c r="P867" s="1007"/>
      <c r="Q867" s="1008"/>
    </row>
    <row r="868" spans="1:17" hidden="1">
      <c r="A868" s="966"/>
      <c r="B868" s="967"/>
      <c r="C868" s="967">
        <v>823</v>
      </c>
      <c r="D868" s="967"/>
      <c r="E868" s="968"/>
      <c r="F868" s="968"/>
      <c r="G868" s="968"/>
      <c r="H868" s="968"/>
      <c r="I868" s="968"/>
      <c r="J868" s="968"/>
      <c r="K868" s="967"/>
      <c r="L868" s="967"/>
      <c r="M868" s="967"/>
      <c r="N868" s="967"/>
      <c r="O868" s="1007"/>
      <c r="P868" s="1007"/>
      <c r="Q868" s="1008"/>
    </row>
    <row r="869" spans="1:17" hidden="1">
      <c r="A869" s="966"/>
      <c r="B869" s="967"/>
      <c r="C869" s="967">
        <v>824</v>
      </c>
      <c r="D869" s="967"/>
      <c r="E869" s="968"/>
      <c r="F869" s="968"/>
      <c r="G869" s="968"/>
      <c r="H869" s="968"/>
      <c r="I869" s="968"/>
      <c r="J869" s="968"/>
      <c r="K869" s="967"/>
      <c r="L869" s="967"/>
      <c r="M869" s="967"/>
      <c r="N869" s="967"/>
      <c r="O869" s="1007"/>
      <c r="P869" s="1007"/>
      <c r="Q869" s="1008"/>
    </row>
    <row r="870" spans="1:17" hidden="1">
      <c r="A870" s="966"/>
      <c r="B870" s="967"/>
      <c r="C870" s="967">
        <v>825</v>
      </c>
      <c r="D870" s="967"/>
      <c r="E870" s="968"/>
      <c r="F870" s="968"/>
      <c r="G870" s="968"/>
      <c r="H870" s="968"/>
      <c r="I870" s="968"/>
      <c r="J870" s="968"/>
      <c r="K870" s="967"/>
      <c r="L870" s="967"/>
      <c r="M870" s="967"/>
      <c r="N870" s="967"/>
      <c r="O870" s="1007"/>
      <c r="P870" s="1007"/>
      <c r="Q870" s="1008"/>
    </row>
    <row r="871" spans="1:17" hidden="1">
      <c r="A871" s="966"/>
      <c r="B871" s="967"/>
      <c r="C871" s="967">
        <v>826</v>
      </c>
      <c r="D871" s="967"/>
      <c r="E871" s="968"/>
      <c r="F871" s="968"/>
      <c r="G871" s="968"/>
      <c r="H871" s="968"/>
      <c r="I871" s="968"/>
      <c r="J871" s="968"/>
      <c r="K871" s="967"/>
      <c r="L871" s="967"/>
      <c r="M871" s="967"/>
      <c r="N871" s="967"/>
      <c r="O871" s="1007"/>
      <c r="P871" s="1007"/>
      <c r="Q871" s="1008"/>
    </row>
    <row r="872" spans="1:17" hidden="1">
      <c r="A872" s="966"/>
      <c r="B872" s="967"/>
      <c r="C872" s="967">
        <v>827</v>
      </c>
      <c r="D872" s="967"/>
      <c r="E872" s="968"/>
      <c r="F872" s="968"/>
      <c r="G872" s="968"/>
      <c r="H872" s="968"/>
      <c r="I872" s="968"/>
      <c r="J872" s="968"/>
      <c r="K872" s="967"/>
      <c r="L872" s="967"/>
      <c r="M872" s="967"/>
      <c r="N872" s="967"/>
      <c r="O872" s="1007"/>
      <c r="P872" s="1007"/>
      <c r="Q872" s="1008"/>
    </row>
    <row r="873" spans="1:17" hidden="1">
      <c r="A873" s="966"/>
      <c r="B873" s="967"/>
      <c r="C873" s="967">
        <v>828</v>
      </c>
      <c r="D873" s="967"/>
      <c r="E873" s="968"/>
      <c r="F873" s="968"/>
      <c r="G873" s="968"/>
      <c r="H873" s="968"/>
      <c r="I873" s="968"/>
      <c r="J873" s="968"/>
      <c r="K873" s="967"/>
      <c r="L873" s="967"/>
      <c r="M873" s="967"/>
      <c r="N873" s="967"/>
      <c r="O873" s="1007"/>
      <c r="P873" s="1007"/>
      <c r="Q873" s="1008"/>
    </row>
    <row r="874" spans="1:17" hidden="1">
      <c r="A874" s="966"/>
      <c r="B874" s="967"/>
      <c r="C874" s="967">
        <v>829</v>
      </c>
      <c r="D874" s="967"/>
      <c r="E874" s="968"/>
      <c r="F874" s="968"/>
      <c r="G874" s="968"/>
      <c r="H874" s="968"/>
      <c r="I874" s="968"/>
      <c r="J874" s="968"/>
      <c r="K874" s="967"/>
      <c r="L874" s="967"/>
      <c r="M874" s="967"/>
      <c r="N874" s="967"/>
      <c r="O874" s="1007"/>
      <c r="P874" s="1007"/>
      <c r="Q874" s="1008"/>
    </row>
    <row r="875" spans="1:17" hidden="1">
      <c r="A875" s="966"/>
      <c r="B875" s="967"/>
      <c r="C875" s="967">
        <v>830</v>
      </c>
      <c r="D875" s="967"/>
      <c r="E875" s="968"/>
      <c r="F875" s="968"/>
      <c r="G875" s="968"/>
      <c r="H875" s="968"/>
      <c r="I875" s="968"/>
      <c r="J875" s="968"/>
      <c r="K875" s="967"/>
      <c r="L875" s="967"/>
      <c r="M875" s="967"/>
      <c r="N875" s="967"/>
      <c r="O875" s="1007"/>
      <c r="P875" s="1007"/>
      <c r="Q875" s="1008"/>
    </row>
    <row r="876" spans="1:17" hidden="1">
      <c r="A876" s="966"/>
      <c r="B876" s="967"/>
      <c r="C876" s="967">
        <v>831</v>
      </c>
      <c r="D876" s="967"/>
      <c r="E876" s="968"/>
      <c r="F876" s="968"/>
      <c r="G876" s="968"/>
      <c r="H876" s="968"/>
      <c r="I876" s="968"/>
      <c r="J876" s="968"/>
      <c r="K876" s="967"/>
      <c r="L876" s="967"/>
      <c r="M876" s="967"/>
      <c r="N876" s="967"/>
      <c r="O876" s="1007"/>
      <c r="P876" s="1007"/>
      <c r="Q876" s="1008"/>
    </row>
    <row r="877" spans="1:17" hidden="1">
      <c r="A877" s="966"/>
      <c r="B877" s="967"/>
      <c r="C877" s="967">
        <v>832</v>
      </c>
      <c r="D877" s="967"/>
      <c r="E877" s="968"/>
      <c r="F877" s="968"/>
      <c r="G877" s="968"/>
      <c r="H877" s="968"/>
      <c r="I877" s="968"/>
      <c r="J877" s="968"/>
      <c r="K877" s="967"/>
      <c r="L877" s="967"/>
      <c r="M877" s="967"/>
      <c r="N877" s="967"/>
      <c r="O877" s="1007"/>
      <c r="P877" s="1007"/>
      <c r="Q877" s="1008"/>
    </row>
    <row r="878" spans="1:17" hidden="1">
      <c r="A878" s="966"/>
      <c r="B878" s="967"/>
      <c r="C878" s="967">
        <v>833</v>
      </c>
      <c r="D878" s="967"/>
      <c r="E878" s="968"/>
      <c r="F878" s="968"/>
      <c r="G878" s="968"/>
      <c r="H878" s="968"/>
      <c r="I878" s="968"/>
      <c r="J878" s="968"/>
      <c r="K878" s="967"/>
      <c r="L878" s="967"/>
      <c r="M878" s="967"/>
      <c r="N878" s="967"/>
      <c r="O878" s="1007"/>
      <c r="P878" s="1007"/>
      <c r="Q878" s="1008"/>
    </row>
    <row r="879" spans="1:17" hidden="1">
      <c r="A879" s="966"/>
      <c r="B879" s="967"/>
      <c r="C879" s="967">
        <v>834</v>
      </c>
      <c r="D879" s="967"/>
      <c r="E879" s="968"/>
      <c r="F879" s="968"/>
      <c r="G879" s="968"/>
      <c r="H879" s="968"/>
      <c r="I879" s="968"/>
      <c r="J879" s="968"/>
      <c r="K879" s="967"/>
      <c r="L879" s="967"/>
      <c r="M879" s="967"/>
      <c r="N879" s="967"/>
      <c r="O879" s="1007"/>
      <c r="P879" s="1007"/>
      <c r="Q879" s="1008"/>
    </row>
    <row r="880" spans="1:17" hidden="1">
      <c r="A880" s="966"/>
      <c r="B880" s="967"/>
      <c r="C880" s="967">
        <v>835</v>
      </c>
      <c r="D880" s="967"/>
      <c r="E880" s="968"/>
      <c r="F880" s="968"/>
      <c r="G880" s="968"/>
      <c r="H880" s="968"/>
      <c r="I880" s="968"/>
      <c r="J880" s="968"/>
      <c r="K880" s="967"/>
      <c r="L880" s="967"/>
      <c r="M880" s="967"/>
      <c r="N880" s="967"/>
      <c r="O880" s="1007"/>
      <c r="P880" s="1007"/>
      <c r="Q880" s="1008"/>
    </row>
    <row r="881" spans="1:17" hidden="1">
      <c r="A881" s="966"/>
      <c r="B881" s="967"/>
      <c r="C881" s="967">
        <v>836</v>
      </c>
      <c r="D881" s="967"/>
      <c r="E881" s="968"/>
      <c r="F881" s="968"/>
      <c r="G881" s="968"/>
      <c r="H881" s="968"/>
      <c r="I881" s="968"/>
      <c r="J881" s="968"/>
      <c r="K881" s="967"/>
      <c r="L881" s="967"/>
      <c r="M881" s="967"/>
      <c r="N881" s="967"/>
      <c r="O881" s="1007"/>
      <c r="P881" s="1007"/>
      <c r="Q881" s="1008"/>
    </row>
    <row r="882" spans="1:17" hidden="1">
      <c r="A882" s="966"/>
      <c r="B882" s="967"/>
      <c r="C882" s="967">
        <v>837</v>
      </c>
      <c r="D882" s="967"/>
      <c r="E882" s="968"/>
      <c r="F882" s="968"/>
      <c r="G882" s="968"/>
      <c r="H882" s="968"/>
      <c r="I882" s="968"/>
      <c r="J882" s="968"/>
      <c r="K882" s="967"/>
      <c r="L882" s="967"/>
      <c r="M882" s="967"/>
      <c r="N882" s="967"/>
      <c r="O882" s="1007"/>
      <c r="P882" s="1007"/>
      <c r="Q882" s="1008"/>
    </row>
    <row r="883" spans="1:17" hidden="1">
      <c r="A883" s="966"/>
      <c r="B883" s="967"/>
      <c r="C883" s="967">
        <v>838</v>
      </c>
      <c r="D883" s="967"/>
      <c r="E883" s="968"/>
      <c r="F883" s="968"/>
      <c r="G883" s="968"/>
      <c r="H883" s="968"/>
      <c r="I883" s="968"/>
      <c r="J883" s="968"/>
      <c r="K883" s="967"/>
      <c r="L883" s="967"/>
      <c r="M883" s="967"/>
      <c r="N883" s="967"/>
      <c r="O883" s="1007"/>
      <c r="P883" s="1007"/>
      <c r="Q883" s="1008"/>
    </row>
    <row r="884" spans="1:17" hidden="1">
      <c r="A884" s="966"/>
      <c r="B884" s="967"/>
      <c r="C884" s="967">
        <v>839</v>
      </c>
      <c r="D884" s="967"/>
      <c r="E884" s="968"/>
      <c r="F884" s="968"/>
      <c r="G884" s="968"/>
      <c r="H884" s="968"/>
      <c r="I884" s="968"/>
      <c r="J884" s="968"/>
      <c r="K884" s="967"/>
      <c r="L884" s="967"/>
      <c r="M884" s="967"/>
      <c r="N884" s="967"/>
      <c r="O884" s="1007"/>
      <c r="P884" s="1007"/>
      <c r="Q884" s="1008"/>
    </row>
    <row r="885" spans="1:17" hidden="1">
      <c r="A885" s="966"/>
      <c r="B885" s="967"/>
      <c r="C885" s="967">
        <v>840</v>
      </c>
      <c r="D885" s="967"/>
      <c r="E885" s="968"/>
      <c r="F885" s="968"/>
      <c r="G885" s="968"/>
      <c r="H885" s="968"/>
      <c r="I885" s="968"/>
      <c r="J885" s="968"/>
      <c r="K885" s="967"/>
      <c r="L885" s="967"/>
      <c r="M885" s="967"/>
      <c r="N885" s="967"/>
      <c r="O885" s="1007"/>
      <c r="P885" s="1007"/>
      <c r="Q885" s="1008"/>
    </row>
    <row r="886" spans="1:17" hidden="1">
      <c r="A886" s="966"/>
      <c r="B886" s="967"/>
      <c r="C886" s="967">
        <v>841</v>
      </c>
      <c r="D886" s="967"/>
      <c r="E886" s="968"/>
      <c r="F886" s="968"/>
      <c r="G886" s="968"/>
      <c r="H886" s="968"/>
      <c r="I886" s="968"/>
      <c r="J886" s="968"/>
      <c r="K886" s="967"/>
      <c r="L886" s="967"/>
      <c r="M886" s="967"/>
      <c r="N886" s="967"/>
      <c r="O886" s="1007"/>
      <c r="P886" s="1007"/>
      <c r="Q886" s="1008"/>
    </row>
    <row r="887" spans="1:17" hidden="1">
      <c r="A887" s="966"/>
      <c r="B887" s="967"/>
      <c r="C887" s="967">
        <v>842</v>
      </c>
      <c r="D887" s="967"/>
      <c r="E887" s="968"/>
      <c r="F887" s="968"/>
      <c r="G887" s="968"/>
      <c r="H887" s="968"/>
      <c r="I887" s="968"/>
      <c r="J887" s="968"/>
      <c r="K887" s="967"/>
      <c r="L887" s="967"/>
      <c r="M887" s="967"/>
      <c r="N887" s="967"/>
      <c r="O887" s="1007"/>
      <c r="P887" s="1007"/>
      <c r="Q887" s="1008"/>
    </row>
    <row r="888" spans="1:17" hidden="1">
      <c r="A888" s="966"/>
      <c r="B888" s="967"/>
      <c r="C888" s="967">
        <v>843</v>
      </c>
      <c r="D888" s="967"/>
      <c r="E888" s="968"/>
      <c r="F888" s="968"/>
      <c r="G888" s="968"/>
      <c r="H888" s="968"/>
      <c r="I888" s="968"/>
      <c r="J888" s="968"/>
      <c r="K888" s="967"/>
      <c r="L888" s="967"/>
      <c r="M888" s="967"/>
      <c r="N888" s="967"/>
      <c r="O888" s="1007"/>
      <c r="P888" s="1007"/>
      <c r="Q888" s="1008"/>
    </row>
    <row r="889" spans="1:17" hidden="1">
      <c r="A889" s="966"/>
      <c r="B889" s="967"/>
      <c r="C889" s="967">
        <v>844</v>
      </c>
      <c r="D889" s="967"/>
      <c r="E889" s="968"/>
      <c r="F889" s="968"/>
      <c r="G889" s="968"/>
      <c r="H889" s="968"/>
      <c r="I889" s="968"/>
      <c r="J889" s="968"/>
      <c r="K889" s="967"/>
      <c r="L889" s="967"/>
      <c r="M889" s="967"/>
      <c r="N889" s="967"/>
      <c r="O889" s="1007"/>
      <c r="P889" s="1007"/>
      <c r="Q889" s="1008"/>
    </row>
    <row r="890" spans="1:17" hidden="1">
      <c r="A890" s="966"/>
      <c r="B890" s="967"/>
      <c r="C890" s="967">
        <v>845</v>
      </c>
      <c r="D890" s="967"/>
      <c r="E890" s="968"/>
      <c r="F890" s="968"/>
      <c r="G890" s="968"/>
      <c r="H890" s="968"/>
      <c r="I890" s="968"/>
      <c r="J890" s="968"/>
      <c r="K890" s="967"/>
      <c r="L890" s="967"/>
      <c r="M890" s="967"/>
      <c r="N890" s="967"/>
      <c r="O890" s="1007"/>
      <c r="P890" s="1007"/>
      <c r="Q890" s="1008"/>
    </row>
    <row r="891" spans="1:17" hidden="1">
      <c r="A891" s="966"/>
      <c r="B891" s="967"/>
      <c r="C891" s="967">
        <v>846</v>
      </c>
      <c r="D891" s="967"/>
      <c r="E891" s="968"/>
      <c r="F891" s="968"/>
      <c r="G891" s="968"/>
      <c r="H891" s="968"/>
      <c r="I891" s="968"/>
      <c r="J891" s="968"/>
      <c r="K891" s="967"/>
      <c r="L891" s="967"/>
      <c r="M891" s="967"/>
      <c r="N891" s="967"/>
      <c r="O891" s="1007"/>
      <c r="P891" s="1007"/>
      <c r="Q891" s="1008"/>
    </row>
    <row r="892" spans="1:17" hidden="1">
      <c r="A892" s="966"/>
      <c r="B892" s="967"/>
      <c r="C892" s="967">
        <v>847</v>
      </c>
      <c r="D892" s="967"/>
      <c r="E892" s="968"/>
      <c r="F892" s="968"/>
      <c r="G892" s="968"/>
      <c r="H892" s="968"/>
      <c r="I892" s="968"/>
      <c r="J892" s="968"/>
      <c r="K892" s="967"/>
      <c r="L892" s="967"/>
      <c r="M892" s="967"/>
      <c r="N892" s="967"/>
      <c r="O892" s="1007"/>
      <c r="P892" s="1007"/>
      <c r="Q892" s="1008"/>
    </row>
    <row r="893" spans="1:17" hidden="1">
      <c r="A893" s="966"/>
      <c r="B893" s="967"/>
      <c r="C893" s="967">
        <v>848</v>
      </c>
      <c r="D893" s="967"/>
      <c r="E893" s="968"/>
      <c r="F893" s="968"/>
      <c r="G893" s="968"/>
      <c r="H893" s="968"/>
      <c r="I893" s="968"/>
      <c r="J893" s="968"/>
      <c r="K893" s="967"/>
      <c r="L893" s="967"/>
      <c r="M893" s="967"/>
      <c r="N893" s="967"/>
      <c r="O893" s="1007"/>
      <c r="P893" s="1007"/>
      <c r="Q893" s="1008"/>
    </row>
    <row r="894" spans="1:17" hidden="1">
      <c r="A894" s="966"/>
      <c r="B894" s="967"/>
      <c r="C894" s="967">
        <v>849</v>
      </c>
      <c r="D894" s="967"/>
      <c r="E894" s="968"/>
      <c r="F894" s="968"/>
      <c r="G894" s="968"/>
      <c r="H894" s="968"/>
      <c r="I894" s="968"/>
      <c r="J894" s="968"/>
      <c r="K894" s="967"/>
      <c r="L894" s="967"/>
      <c r="M894" s="967"/>
      <c r="N894" s="967"/>
      <c r="O894" s="1007"/>
      <c r="P894" s="1007"/>
      <c r="Q894" s="1008"/>
    </row>
    <row r="895" spans="1:17" hidden="1">
      <c r="A895" s="966"/>
      <c r="B895" s="967"/>
      <c r="C895" s="967">
        <v>850</v>
      </c>
      <c r="D895" s="967"/>
      <c r="E895" s="968"/>
      <c r="F895" s="968"/>
      <c r="G895" s="968"/>
      <c r="H895" s="968"/>
      <c r="I895" s="968"/>
      <c r="J895" s="968"/>
      <c r="K895" s="967"/>
      <c r="L895" s="967"/>
      <c r="M895" s="967"/>
      <c r="N895" s="967"/>
      <c r="O895" s="1007"/>
      <c r="P895" s="1007"/>
      <c r="Q895" s="1008"/>
    </row>
    <row r="896" spans="1:17" hidden="1">
      <c r="A896" s="966"/>
      <c r="B896" s="967"/>
      <c r="C896" s="967">
        <v>851</v>
      </c>
      <c r="D896" s="967"/>
      <c r="E896" s="968"/>
      <c r="F896" s="968"/>
      <c r="G896" s="968"/>
      <c r="H896" s="968"/>
      <c r="I896" s="968"/>
      <c r="J896" s="968"/>
      <c r="K896" s="967"/>
      <c r="L896" s="967"/>
      <c r="M896" s="967"/>
      <c r="N896" s="967"/>
      <c r="O896" s="1007"/>
      <c r="P896" s="1007"/>
      <c r="Q896" s="1008"/>
    </row>
    <row r="897" spans="1:17" hidden="1">
      <c r="A897" s="966"/>
      <c r="B897" s="967"/>
      <c r="C897" s="967">
        <v>852</v>
      </c>
      <c r="D897" s="967"/>
      <c r="E897" s="968"/>
      <c r="F897" s="968"/>
      <c r="G897" s="968"/>
      <c r="H897" s="968"/>
      <c r="I897" s="968"/>
      <c r="J897" s="968"/>
      <c r="K897" s="967"/>
      <c r="L897" s="967"/>
      <c r="M897" s="967"/>
      <c r="N897" s="967"/>
      <c r="O897" s="1007"/>
      <c r="P897" s="1007"/>
      <c r="Q897" s="1008"/>
    </row>
    <row r="898" spans="1:17" hidden="1">
      <c r="A898" s="966"/>
      <c r="B898" s="967"/>
      <c r="C898" s="967">
        <v>853</v>
      </c>
      <c r="D898" s="967"/>
      <c r="E898" s="968"/>
      <c r="F898" s="968"/>
      <c r="G898" s="968"/>
      <c r="H898" s="968"/>
      <c r="I898" s="968"/>
      <c r="J898" s="968"/>
      <c r="K898" s="967"/>
      <c r="L898" s="967"/>
      <c r="M898" s="967"/>
      <c r="N898" s="967"/>
      <c r="O898" s="1007"/>
      <c r="P898" s="1007"/>
      <c r="Q898" s="1008"/>
    </row>
    <row r="899" spans="1:17" hidden="1">
      <c r="A899" s="966"/>
      <c r="B899" s="967"/>
      <c r="C899" s="967">
        <v>854</v>
      </c>
      <c r="D899" s="967"/>
      <c r="E899" s="968"/>
      <c r="F899" s="968"/>
      <c r="G899" s="968"/>
      <c r="H899" s="968"/>
      <c r="I899" s="968"/>
      <c r="J899" s="968"/>
      <c r="K899" s="967"/>
      <c r="L899" s="967"/>
      <c r="M899" s="967"/>
      <c r="N899" s="967"/>
      <c r="O899" s="1007"/>
      <c r="P899" s="1007"/>
      <c r="Q899" s="1008"/>
    </row>
    <row r="900" spans="1:17" hidden="1">
      <c r="A900" s="966"/>
      <c r="B900" s="967"/>
      <c r="C900" s="967">
        <v>855</v>
      </c>
      <c r="D900" s="967"/>
      <c r="E900" s="968"/>
      <c r="F900" s="968"/>
      <c r="G900" s="968"/>
      <c r="H900" s="968"/>
      <c r="I900" s="968"/>
      <c r="J900" s="968"/>
      <c r="K900" s="967"/>
      <c r="L900" s="967"/>
      <c r="M900" s="967"/>
      <c r="N900" s="967"/>
      <c r="O900" s="1007"/>
      <c r="P900" s="1007"/>
      <c r="Q900" s="1008"/>
    </row>
    <row r="901" spans="1:17" hidden="1">
      <c r="A901" s="966"/>
      <c r="B901" s="967"/>
      <c r="C901" s="967">
        <v>856</v>
      </c>
      <c r="D901" s="967"/>
      <c r="E901" s="968"/>
      <c r="F901" s="968"/>
      <c r="G901" s="968"/>
      <c r="H901" s="968"/>
      <c r="I901" s="968"/>
      <c r="J901" s="968"/>
      <c r="K901" s="967"/>
      <c r="L901" s="967"/>
      <c r="M901" s="967"/>
      <c r="N901" s="967"/>
      <c r="O901" s="1007"/>
      <c r="P901" s="1007"/>
      <c r="Q901" s="1008"/>
    </row>
    <row r="902" spans="1:17" hidden="1">
      <c r="A902" s="966"/>
      <c r="B902" s="967"/>
      <c r="C902" s="967">
        <v>857</v>
      </c>
      <c r="D902" s="967"/>
      <c r="E902" s="968"/>
      <c r="F902" s="968"/>
      <c r="G902" s="968"/>
      <c r="H902" s="968"/>
      <c r="I902" s="968"/>
      <c r="J902" s="968"/>
      <c r="K902" s="967"/>
      <c r="L902" s="967"/>
      <c r="M902" s="967"/>
      <c r="N902" s="967"/>
      <c r="O902" s="1007"/>
      <c r="P902" s="1007"/>
      <c r="Q902" s="1008"/>
    </row>
    <row r="903" spans="1:17" hidden="1">
      <c r="A903" s="966"/>
      <c r="B903" s="967"/>
      <c r="C903" s="967">
        <v>858</v>
      </c>
      <c r="D903" s="967"/>
      <c r="E903" s="968"/>
      <c r="F903" s="968"/>
      <c r="G903" s="968"/>
      <c r="H903" s="968"/>
      <c r="I903" s="968"/>
      <c r="J903" s="968"/>
      <c r="K903" s="967"/>
      <c r="L903" s="967"/>
      <c r="M903" s="967"/>
      <c r="N903" s="967"/>
      <c r="O903" s="1007"/>
      <c r="P903" s="1007"/>
      <c r="Q903" s="1008"/>
    </row>
    <row r="904" spans="1:17" hidden="1">
      <c r="A904" s="966"/>
      <c r="B904" s="967"/>
      <c r="C904" s="967">
        <v>859</v>
      </c>
      <c r="D904" s="967"/>
      <c r="E904" s="968"/>
      <c r="F904" s="968"/>
      <c r="G904" s="968"/>
      <c r="H904" s="968"/>
      <c r="I904" s="968"/>
      <c r="J904" s="968"/>
      <c r="K904" s="967"/>
      <c r="L904" s="967"/>
      <c r="M904" s="967"/>
      <c r="N904" s="967"/>
      <c r="O904" s="1007"/>
      <c r="P904" s="1007"/>
      <c r="Q904" s="1008"/>
    </row>
    <row r="905" spans="1:17" hidden="1">
      <c r="A905" s="966"/>
      <c r="B905" s="967"/>
      <c r="C905" s="967">
        <v>860</v>
      </c>
      <c r="D905" s="967"/>
      <c r="E905" s="968"/>
      <c r="F905" s="968"/>
      <c r="G905" s="968"/>
      <c r="H905" s="968"/>
      <c r="I905" s="968"/>
      <c r="J905" s="968"/>
      <c r="K905" s="967"/>
      <c r="L905" s="967"/>
      <c r="M905" s="967"/>
      <c r="N905" s="967"/>
      <c r="O905" s="1007"/>
      <c r="P905" s="1007"/>
      <c r="Q905" s="1008"/>
    </row>
    <row r="906" spans="1:17" hidden="1">
      <c r="A906" s="966"/>
      <c r="B906" s="967"/>
      <c r="C906" s="967">
        <v>861</v>
      </c>
      <c r="D906" s="967"/>
      <c r="E906" s="968"/>
      <c r="F906" s="968"/>
      <c r="G906" s="968"/>
      <c r="H906" s="968"/>
      <c r="I906" s="968"/>
      <c r="J906" s="968"/>
      <c r="K906" s="967"/>
      <c r="L906" s="967"/>
      <c r="M906" s="967"/>
      <c r="N906" s="967"/>
      <c r="O906" s="1007"/>
      <c r="P906" s="1007"/>
      <c r="Q906" s="1008"/>
    </row>
    <row r="907" spans="1:17" hidden="1">
      <c r="A907" s="966"/>
      <c r="B907" s="967"/>
      <c r="C907" s="967">
        <v>862</v>
      </c>
      <c r="D907" s="967"/>
      <c r="E907" s="968"/>
      <c r="F907" s="968"/>
      <c r="G907" s="968"/>
      <c r="H907" s="968"/>
      <c r="I907" s="968"/>
      <c r="J907" s="968"/>
      <c r="K907" s="967"/>
      <c r="L907" s="967"/>
      <c r="M907" s="967"/>
      <c r="N907" s="967"/>
      <c r="O907" s="1007"/>
      <c r="P907" s="1007"/>
      <c r="Q907" s="1008"/>
    </row>
    <row r="908" spans="1:17" hidden="1">
      <c r="A908" s="966"/>
      <c r="B908" s="967"/>
      <c r="C908" s="967">
        <v>863</v>
      </c>
      <c r="D908" s="967"/>
      <c r="E908" s="968"/>
      <c r="F908" s="968"/>
      <c r="G908" s="968"/>
      <c r="H908" s="968"/>
      <c r="I908" s="968"/>
      <c r="J908" s="968"/>
      <c r="K908" s="967"/>
      <c r="L908" s="967"/>
      <c r="M908" s="967"/>
      <c r="N908" s="967"/>
      <c r="O908" s="1007"/>
      <c r="P908" s="1007"/>
      <c r="Q908" s="1008"/>
    </row>
    <row r="909" spans="1:17" hidden="1">
      <c r="A909" s="966"/>
      <c r="B909" s="967"/>
      <c r="C909" s="967">
        <v>864</v>
      </c>
      <c r="D909" s="967"/>
      <c r="E909" s="968"/>
      <c r="F909" s="968"/>
      <c r="G909" s="968"/>
      <c r="H909" s="968"/>
      <c r="I909" s="968"/>
      <c r="J909" s="968"/>
      <c r="K909" s="967"/>
      <c r="L909" s="967"/>
      <c r="M909" s="967"/>
      <c r="N909" s="967"/>
      <c r="O909" s="1007"/>
      <c r="P909" s="1007"/>
      <c r="Q909" s="1008"/>
    </row>
    <row r="910" spans="1:17" hidden="1">
      <c r="A910" s="966"/>
      <c r="B910" s="967"/>
      <c r="C910" s="967">
        <v>865</v>
      </c>
      <c r="D910" s="967"/>
      <c r="E910" s="968"/>
      <c r="F910" s="968"/>
      <c r="G910" s="968"/>
      <c r="H910" s="968"/>
      <c r="I910" s="968"/>
      <c r="J910" s="968"/>
      <c r="K910" s="967"/>
      <c r="L910" s="967"/>
      <c r="M910" s="967"/>
      <c r="N910" s="967"/>
      <c r="O910" s="1007"/>
      <c r="P910" s="1007"/>
      <c r="Q910" s="1008"/>
    </row>
    <row r="911" spans="1:17" hidden="1">
      <c r="A911" s="966"/>
      <c r="B911" s="967"/>
      <c r="C911" s="967">
        <v>866</v>
      </c>
      <c r="D911" s="967"/>
      <c r="E911" s="968"/>
      <c r="F911" s="968"/>
      <c r="G911" s="968"/>
      <c r="H911" s="968"/>
      <c r="I911" s="968"/>
      <c r="J911" s="968"/>
      <c r="K911" s="967"/>
      <c r="L911" s="967"/>
      <c r="M911" s="967"/>
      <c r="N911" s="967"/>
      <c r="O911" s="1007"/>
      <c r="P911" s="1007"/>
      <c r="Q911" s="1008"/>
    </row>
    <row r="912" spans="1:17" hidden="1">
      <c r="A912" s="966"/>
      <c r="B912" s="967"/>
      <c r="C912" s="967">
        <v>867</v>
      </c>
      <c r="D912" s="967"/>
      <c r="E912" s="968"/>
      <c r="F912" s="968"/>
      <c r="G912" s="968"/>
      <c r="H912" s="968"/>
      <c r="I912" s="968"/>
      <c r="J912" s="968"/>
      <c r="K912" s="967"/>
      <c r="L912" s="967"/>
      <c r="M912" s="967"/>
      <c r="N912" s="967"/>
      <c r="O912" s="1007"/>
      <c r="P912" s="1007"/>
      <c r="Q912" s="1008"/>
    </row>
    <row r="913" spans="1:17" hidden="1">
      <c r="A913" s="966"/>
      <c r="B913" s="967"/>
      <c r="C913" s="967">
        <v>868</v>
      </c>
      <c r="D913" s="967"/>
      <c r="E913" s="968"/>
      <c r="F913" s="968"/>
      <c r="G913" s="968"/>
      <c r="H913" s="968"/>
      <c r="I913" s="968"/>
      <c r="J913" s="968"/>
      <c r="K913" s="967"/>
      <c r="L913" s="967"/>
      <c r="M913" s="967"/>
      <c r="N913" s="967"/>
      <c r="O913" s="1007"/>
      <c r="P913" s="1007"/>
      <c r="Q913" s="1008"/>
    </row>
    <row r="914" spans="1:17" hidden="1">
      <c r="A914" s="966"/>
      <c r="B914" s="967"/>
      <c r="C914" s="967">
        <v>869</v>
      </c>
      <c r="D914" s="967"/>
      <c r="E914" s="968"/>
      <c r="F914" s="968"/>
      <c r="G914" s="968"/>
      <c r="H914" s="968"/>
      <c r="I914" s="968"/>
      <c r="J914" s="968"/>
      <c r="K914" s="967"/>
      <c r="L914" s="967"/>
      <c r="M914" s="967"/>
      <c r="N914" s="967"/>
      <c r="O914" s="1007"/>
      <c r="P914" s="1007"/>
      <c r="Q914" s="1008"/>
    </row>
    <row r="915" spans="1:17" hidden="1">
      <c r="A915" s="966"/>
      <c r="B915" s="967"/>
      <c r="C915" s="967">
        <v>870</v>
      </c>
      <c r="D915" s="967"/>
      <c r="E915" s="968"/>
      <c r="F915" s="968"/>
      <c r="G915" s="968"/>
      <c r="H915" s="968"/>
      <c r="I915" s="968"/>
      <c r="J915" s="968"/>
      <c r="K915" s="967"/>
      <c r="L915" s="967"/>
      <c r="M915" s="967"/>
      <c r="N915" s="967"/>
      <c r="O915" s="1007"/>
      <c r="P915" s="1007"/>
      <c r="Q915" s="1008"/>
    </row>
    <row r="916" spans="1:17" hidden="1">
      <c r="A916" s="966"/>
      <c r="B916" s="967"/>
      <c r="C916" s="967">
        <v>871</v>
      </c>
      <c r="D916" s="967"/>
      <c r="E916" s="968"/>
      <c r="F916" s="968"/>
      <c r="G916" s="968"/>
      <c r="H916" s="968"/>
      <c r="I916" s="968"/>
      <c r="J916" s="968"/>
      <c r="K916" s="967"/>
      <c r="L916" s="967"/>
      <c r="M916" s="967"/>
      <c r="N916" s="967"/>
      <c r="O916" s="1007"/>
      <c r="P916" s="1007"/>
      <c r="Q916" s="1008"/>
    </row>
    <row r="917" spans="1:17" hidden="1">
      <c r="A917" s="966"/>
      <c r="B917" s="967"/>
      <c r="C917" s="967">
        <v>872</v>
      </c>
      <c r="D917" s="967"/>
      <c r="E917" s="968"/>
      <c r="F917" s="968"/>
      <c r="G917" s="968"/>
      <c r="H917" s="968"/>
      <c r="I917" s="968"/>
      <c r="J917" s="968"/>
      <c r="K917" s="967"/>
      <c r="L917" s="967"/>
      <c r="M917" s="967"/>
      <c r="N917" s="967"/>
      <c r="O917" s="1007"/>
      <c r="P917" s="1007"/>
      <c r="Q917" s="1008"/>
    </row>
    <row r="918" spans="1:17" hidden="1">
      <c r="A918" s="966"/>
      <c r="B918" s="967"/>
      <c r="C918" s="967">
        <v>873</v>
      </c>
      <c r="D918" s="967"/>
      <c r="E918" s="968"/>
      <c r="F918" s="968"/>
      <c r="G918" s="968"/>
      <c r="H918" s="968"/>
      <c r="I918" s="968"/>
      <c r="J918" s="968"/>
      <c r="K918" s="967"/>
      <c r="L918" s="967"/>
      <c r="M918" s="967"/>
      <c r="N918" s="967"/>
      <c r="O918" s="1007"/>
      <c r="P918" s="1007"/>
      <c r="Q918" s="1008"/>
    </row>
    <row r="919" spans="1:17" hidden="1">
      <c r="A919" s="966"/>
      <c r="B919" s="967"/>
      <c r="C919" s="967">
        <v>874</v>
      </c>
      <c r="D919" s="967"/>
      <c r="E919" s="968"/>
      <c r="F919" s="968"/>
      <c r="G919" s="968"/>
      <c r="H919" s="968"/>
      <c r="I919" s="968"/>
      <c r="J919" s="968"/>
      <c r="K919" s="967"/>
      <c r="L919" s="967"/>
      <c r="M919" s="967"/>
      <c r="N919" s="967"/>
      <c r="O919" s="1007"/>
      <c r="P919" s="1007"/>
      <c r="Q919" s="1008"/>
    </row>
    <row r="920" spans="1:17" hidden="1">
      <c r="A920" s="966"/>
      <c r="B920" s="967"/>
      <c r="C920" s="967">
        <v>875</v>
      </c>
      <c r="D920" s="967"/>
      <c r="E920" s="968"/>
      <c r="F920" s="968"/>
      <c r="G920" s="968"/>
      <c r="H920" s="968"/>
      <c r="I920" s="968"/>
      <c r="J920" s="968"/>
      <c r="K920" s="967"/>
      <c r="L920" s="967"/>
      <c r="M920" s="967"/>
      <c r="N920" s="967"/>
      <c r="O920" s="1007"/>
      <c r="P920" s="1007"/>
      <c r="Q920" s="1008"/>
    </row>
    <row r="921" spans="1:17" hidden="1">
      <c r="A921" s="966"/>
      <c r="B921" s="967"/>
      <c r="C921" s="967">
        <v>876</v>
      </c>
      <c r="D921" s="967"/>
      <c r="E921" s="968"/>
      <c r="F921" s="968"/>
      <c r="G921" s="968"/>
      <c r="H921" s="968"/>
      <c r="I921" s="968"/>
      <c r="J921" s="968"/>
      <c r="K921" s="967"/>
      <c r="L921" s="967"/>
      <c r="M921" s="967"/>
      <c r="N921" s="967"/>
      <c r="O921" s="1007"/>
      <c r="P921" s="1007"/>
      <c r="Q921" s="1008"/>
    </row>
    <row r="922" spans="1:17" hidden="1">
      <c r="A922" s="966"/>
      <c r="B922" s="967"/>
      <c r="C922" s="967">
        <v>877</v>
      </c>
      <c r="D922" s="967"/>
      <c r="E922" s="968"/>
      <c r="F922" s="968"/>
      <c r="G922" s="968"/>
      <c r="H922" s="968"/>
      <c r="I922" s="968"/>
      <c r="J922" s="968"/>
      <c r="K922" s="967"/>
      <c r="L922" s="967"/>
      <c r="M922" s="967"/>
      <c r="N922" s="967"/>
      <c r="O922" s="1007"/>
      <c r="P922" s="1007"/>
      <c r="Q922" s="1008"/>
    </row>
    <row r="923" spans="1:17" hidden="1">
      <c r="A923" s="966"/>
      <c r="B923" s="967"/>
      <c r="C923" s="967">
        <v>878</v>
      </c>
      <c r="D923" s="967"/>
      <c r="E923" s="968"/>
      <c r="F923" s="968"/>
      <c r="G923" s="968"/>
      <c r="H923" s="968"/>
      <c r="I923" s="968"/>
      <c r="J923" s="968"/>
      <c r="K923" s="967"/>
      <c r="L923" s="967"/>
      <c r="M923" s="967"/>
      <c r="N923" s="967"/>
      <c r="O923" s="1007"/>
      <c r="P923" s="1007"/>
      <c r="Q923" s="1008"/>
    </row>
    <row r="924" spans="1:17" hidden="1">
      <c r="A924" s="966"/>
      <c r="B924" s="967"/>
      <c r="C924" s="967">
        <v>879</v>
      </c>
      <c r="D924" s="967"/>
      <c r="E924" s="968"/>
      <c r="F924" s="968"/>
      <c r="G924" s="968"/>
      <c r="H924" s="968"/>
      <c r="I924" s="968"/>
      <c r="J924" s="968"/>
      <c r="K924" s="967"/>
      <c r="L924" s="967"/>
      <c r="M924" s="967"/>
      <c r="N924" s="967"/>
      <c r="O924" s="1007"/>
      <c r="P924" s="1007"/>
      <c r="Q924" s="1008"/>
    </row>
    <row r="925" spans="1:17" hidden="1">
      <c r="A925" s="966"/>
      <c r="B925" s="967"/>
      <c r="C925" s="967">
        <v>880</v>
      </c>
      <c r="D925" s="967"/>
      <c r="E925" s="968"/>
      <c r="F925" s="968"/>
      <c r="G925" s="968"/>
      <c r="H925" s="968"/>
      <c r="I925" s="968"/>
      <c r="J925" s="968"/>
      <c r="K925" s="967"/>
      <c r="L925" s="967"/>
      <c r="M925" s="967"/>
      <c r="N925" s="967"/>
      <c r="O925" s="1007"/>
      <c r="P925" s="1007"/>
      <c r="Q925" s="1008"/>
    </row>
    <row r="926" spans="1:17" hidden="1">
      <c r="A926" s="966"/>
      <c r="B926" s="967"/>
      <c r="C926" s="967">
        <v>881</v>
      </c>
      <c r="D926" s="967"/>
      <c r="E926" s="968"/>
      <c r="F926" s="968"/>
      <c r="G926" s="968"/>
      <c r="H926" s="968"/>
      <c r="I926" s="968"/>
      <c r="J926" s="968"/>
      <c r="K926" s="967"/>
      <c r="L926" s="967"/>
      <c r="M926" s="967"/>
      <c r="N926" s="967"/>
      <c r="O926" s="1007"/>
      <c r="P926" s="1007"/>
      <c r="Q926" s="1008"/>
    </row>
    <row r="927" spans="1:17" hidden="1">
      <c r="A927" s="966"/>
      <c r="B927" s="967"/>
      <c r="C927" s="967">
        <v>882</v>
      </c>
      <c r="D927" s="967"/>
      <c r="E927" s="968"/>
      <c r="F927" s="968"/>
      <c r="G927" s="968"/>
      <c r="H927" s="968"/>
      <c r="I927" s="968"/>
      <c r="J927" s="968"/>
      <c r="K927" s="967"/>
      <c r="L927" s="967"/>
      <c r="M927" s="967"/>
      <c r="N927" s="967"/>
      <c r="O927" s="1007"/>
      <c r="P927" s="1007"/>
      <c r="Q927" s="1008"/>
    </row>
    <row r="928" spans="1:17" hidden="1">
      <c r="A928" s="966"/>
      <c r="B928" s="967"/>
      <c r="C928" s="967">
        <v>883</v>
      </c>
      <c r="D928" s="967"/>
      <c r="E928" s="968"/>
      <c r="F928" s="968"/>
      <c r="G928" s="968"/>
      <c r="H928" s="968"/>
      <c r="I928" s="968"/>
      <c r="J928" s="968"/>
      <c r="K928" s="967"/>
      <c r="L928" s="967"/>
      <c r="M928" s="967"/>
      <c r="N928" s="967"/>
      <c r="O928" s="1007"/>
      <c r="P928" s="1007"/>
      <c r="Q928" s="1008"/>
    </row>
    <row r="929" spans="1:17" hidden="1">
      <c r="A929" s="966"/>
      <c r="B929" s="967"/>
      <c r="C929" s="967">
        <v>884</v>
      </c>
      <c r="D929" s="967"/>
      <c r="E929" s="968"/>
      <c r="F929" s="968"/>
      <c r="G929" s="968"/>
      <c r="H929" s="968"/>
      <c r="I929" s="968"/>
      <c r="J929" s="968"/>
      <c r="K929" s="967"/>
      <c r="L929" s="967"/>
      <c r="M929" s="967"/>
      <c r="N929" s="967"/>
      <c r="O929" s="1007"/>
      <c r="P929" s="1007"/>
      <c r="Q929" s="1008"/>
    </row>
    <row r="930" spans="1:17" hidden="1">
      <c r="A930" s="966"/>
      <c r="B930" s="967"/>
      <c r="C930" s="967">
        <v>885</v>
      </c>
      <c r="D930" s="967"/>
      <c r="E930" s="968"/>
      <c r="F930" s="968"/>
      <c r="G930" s="968"/>
      <c r="H930" s="968"/>
      <c r="I930" s="968"/>
      <c r="J930" s="968"/>
      <c r="K930" s="967"/>
      <c r="L930" s="967"/>
      <c r="M930" s="967"/>
      <c r="N930" s="967"/>
      <c r="O930" s="1007"/>
      <c r="P930" s="1007"/>
      <c r="Q930" s="1008"/>
    </row>
    <row r="931" spans="1:17" hidden="1">
      <c r="A931" s="966"/>
      <c r="B931" s="967"/>
      <c r="C931" s="967">
        <v>886</v>
      </c>
      <c r="D931" s="967"/>
      <c r="E931" s="968"/>
      <c r="F931" s="968"/>
      <c r="G931" s="968"/>
      <c r="H931" s="968"/>
      <c r="I931" s="968"/>
      <c r="J931" s="968"/>
      <c r="K931" s="967"/>
      <c r="L931" s="967"/>
      <c r="M931" s="967"/>
      <c r="N931" s="967"/>
      <c r="O931" s="1007"/>
      <c r="P931" s="1007"/>
      <c r="Q931" s="1008"/>
    </row>
    <row r="932" spans="1:17" hidden="1">
      <c r="A932" s="966"/>
      <c r="B932" s="967"/>
      <c r="C932" s="967">
        <v>887</v>
      </c>
      <c r="D932" s="967"/>
      <c r="E932" s="968"/>
      <c r="F932" s="968"/>
      <c r="G932" s="968"/>
      <c r="H932" s="968"/>
      <c r="I932" s="968"/>
      <c r="J932" s="968"/>
      <c r="K932" s="967"/>
      <c r="L932" s="967"/>
      <c r="M932" s="967"/>
      <c r="N932" s="967"/>
      <c r="O932" s="1007"/>
      <c r="P932" s="1007"/>
      <c r="Q932" s="1008"/>
    </row>
    <row r="933" spans="1:17" hidden="1">
      <c r="A933" s="966"/>
      <c r="B933" s="967"/>
      <c r="C933" s="967">
        <v>888</v>
      </c>
      <c r="D933" s="967"/>
      <c r="E933" s="968"/>
      <c r="F933" s="968"/>
      <c r="G933" s="968"/>
      <c r="H933" s="968"/>
      <c r="I933" s="968"/>
      <c r="J933" s="968"/>
      <c r="K933" s="967"/>
      <c r="L933" s="967"/>
      <c r="M933" s="967"/>
      <c r="N933" s="967"/>
      <c r="O933" s="1007"/>
      <c r="P933" s="1007"/>
      <c r="Q933" s="1008"/>
    </row>
    <row r="934" spans="1:17" hidden="1">
      <c r="A934" s="966"/>
      <c r="B934" s="967"/>
      <c r="C934" s="967">
        <v>889</v>
      </c>
      <c r="D934" s="967"/>
      <c r="E934" s="968"/>
      <c r="F934" s="968"/>
      <c r="G934" s="968"/>
      <c r="H934" s="968"/>
      <c r="I934" s="968"/>
      <c r="J934" s="968"/>
      <c r="K934" s="967"/>
      <c r="L934" s="967"/>
      <c r="M934" s="967"/>
      <c r="N934" s="967"/>
      <c r="O934" s="1007"/>
      <c r="P934" s="1007"/>
      <c r="Q934" s="1008"/>
    </row>
    <row r="935" spans="1:17" hidden="1">
      <c r="A935" s="966"/>
      <c r="B935" s="967"/>
      <c r="C935" s="967">
        <v>890</v>
      </c>
      <c r="D935" s="967"/>
      <c r="E935" s="968"/>
      <c r="F935" s="968"/>
      <c r="G935" s="968"/>
      <c r="H935" s="968"/>
      <c r="I935" s="968"/>
      <c r="J935" s="968"/>
      <c r="K935" s="967"/>
      <c r="L935" s="967"/>
      <c r="M935" s="967"/>
      <c r="N935" s="967"/>
      <c r="O935" s="1007"/>
      <c r="P935" s="1007"/>
      <c r="Q935" s="1008"/>
    </row>
    <row r="936" spans="1:17" hidden="1">
      <c r="A936" s="966"/>
      <c r="B936" s="967"/>
      <c r="C936" s="967">
        <v>891</v>
      </c>
      <c r="D936" s="967"/>
      <c r="E936" s="968"/>
      <c r="F936" s="968"/>
      <c r="G936" s="968"/>
      <c r="H936" s="968"/>
      <c r="I936" s="968"/>
      <c r="J936" s="968"/>
      <c r="K936" s="967"/>
      <c r="L936" s="967"/>
      <c r="M936" s="967"/>
      <c r="N936" s="967"/>
      <c r="O936" s="1007"/>
      <c r="P936" s="1007"/>
      <c r="Q936" s="1008"/>
    </row>
    <row r="937" spans="1:17" hidden="1">
      <c r="A937" s="966"/>
      <c r="B937" s="967"/>
      <c r="C937" s="967">
        <v>892</v>
      </c>
      <c r="D937" s="967"/>
      <c r="E937" s="968"/>
      <c r="F937" s="968"/>
      <c r="G937" s="968"/>
      <c r="H937" s="968"/>
      <c r="I937" s="968"/>
      <c r="J937" s="968"/>
      <c r="K937" s="967"/>
      <c r="L937" s="967"/>
      <c r="M937" s="967"/>
      <c r="N937" s="967"/>
      <c r="O937" s="1007"/>
      <c r="P937" s="1007"/>
      <c r="Q937" s="1008"/>
    </row>
    <row r="938" spans="1:17" hidden="1">
      <c r="A938" s="966"/>
      <c r="B938" s="967"/>
      <c r="C938" s="967">
        <v>893</v>
      </c>
      <c r="D938" s="967"/>
      <c r="E938" s="968"/>
      <c r="F938" s="968"/>
      <c r="G938" s="968"/>
      <c r="H938" s="968"/>
      <c r="I938" s="968"/>
      <c r="J938" s="968"/>
      <c r="K938" s="967"/>
      <c r="L938" s="967"/>
      <c r="M938" s="967"/>
      <c r="N938" s="967"/>
      <c r="O938" s="1007"/>
      <c r="P938" s="1007"/>
      <c r="Q938" s="1008"/>
    </row>
    <row r="939" spans="1:17" hidden="1">
      <c r="A939" s="966"/>
      <c r="B939" s="967"/>
      <c r="C939" s="967">
        <v>894</v>
      </c>
      <c r="D939" s="967"/>
      <c r="E939" s="968"/>
      <c r="F939" s="968"/>
      <c r="G939" s="968"/>
      <c r="H939" s="968"/>
      <c r="I939" s="968"/>
      <c r="J939" s="968"/>
      <c r="K939" s="967"/>
      <c r="L939" s="967"/>
      <c r="M939" s="967"/>
      <c r="N939" s="967"/>
      <c r="O939" s="1007"/>
      <c r="P939" s="1007"/>
      <c r="Q939" s="1008"/>
    </row>
    <row r="940" spans="1:17" hidden="1">
      <c r="A940" s="966"/>
      <c r="B940" s="967"/>
      <c r="C940" s="967">
        <v>895</v>
      </c>
      <c r="D940" s="967"/>
      <c r="E940" s="968"/>
      <c r="F940" s="968"/>
      <c r="G940" s="968"/>
      <c r="H940" s="968"/>
      <c r="I940" s="968"/>
      <c r="J940" s="968"/>
      <c r="K940" s="967"/>
      <c r="L940" s="967"/>
      <c r="M940" s="967"/>
      <c r="N940" s="967"/>
      <c r="O940" s="1007"/>
      <c r="P940" s="1007"/>
      <c r="Q940" s="1008"/>
    </row>
    <row r="941" spans="1:17" hidden="1">
      <c r="A941" s="966"/>
      <c r="B941" s="967"/>
      <c r="C941" s="967">
        <v>896</v>
      </c>
      <c r="D941" s="967"/>
      <c r="E941" s="968"/>
      <c r="F941" s="968"/>
      <c r="G941" s="968"/>
      <c r="H941" s="968"/>
      <c r="I941" s="968"/>
      <c r="J941" s="968"/>
      <c r="K941" s="967"/>
      <c r="L941" s="967"/>
      <c r="M941" s="967"/>
      <c r="N941" s="967"/>
      <c r="O941" s="1007"/>
      <c r="P941" s="1007"/>
      <c r="Q941" s="1008"/>
    </row>
    <row r="942" spans="1:17" hidden="1">
      <c r="A942" s="966"/>
      <c r="B942" s="967"/>
      <c r="C942" s="967">
        <v>897</v>
      </c>
      <c r="D942" s="967"/>
      <c r="E942" s="968"/>
      <c r="F942" s="968"/>
      <c r="G942" s="968"/>
      <c r="H942" s="968"/>
      <c r="I942" s="968"/>
      <c r="J942" s="968"/>
      <c r="K942" s="967"/>
      <c r="L942" s="967"/>
      <c r="M942" s="967"/>
      <c r="N942" s="967"/>
      <c r="O942" s="1007"/>
      <c r="P942" s="1007"/>
      <c r="Q942" s="1008"/>
    </row>
    <row r="943" spans="1:17" hidden="1">
      <c r="A943" s="966"/>
      <c r="B943" s="967"/>
      <c r="C943" s="967">
        <v>898</v>
      </c>
      <c r="D943" s="967"/>
      <c r="E943" s="968"/>
      <c r="F943" s="968"/>
      <c r="G943" s="968"/>
      <c r="H943" s="968"/>
      <c r="I943" s="968"/>
      <c r="J943" s="968"/>
      <c r="K943" s="967"/>
      <c r="L943" s="967"/>
      <c r="M943" s="967"/>
      <c r="N943" s="967"/>
      <c r="O943" s="1007"/>
      <c r="P943" s="1007"/>
      <c r="Q943" s="1008"/>
    </row>
    <row r="944" spans="1:17" hidden="1">
      <c r="A944" s="966"/>
      <c r="B944" s="967"/>
      <c r="C944" s="967">
        <v>899</v>
      </c>
      <c r="D944" s="967"/>
      <c r="E944" s="968"/>
      <c r="F944" s="968"/>
      <c r="G944" s="968"/>
      <c r="H944" s="968"/>
      <c r="I944" s="968"/>
      <c r="J944" s="968"/>
      <c r="K944" s="967"/>
      <c r="L944" s="967"/>
      <c r="M944" s="967"/>
      <c r="N944" s="967"/>
      <c r="O944" s="1007"/>
      <c r="P944" s="1007"/>
      <c r="Q944" s="1008"/>
    </row>
    <row r="945" spans="1:17" hidden="1">
      <c r="A945" s="966"/>
      <c r="B945" s="967"/>
      <c r="C945" s="967">
        <v>900</v>
      </c>
      <c r="D945" s="967"/>
      <c r="E945" s="968"/>
      <c r="F945" s="968"/>
      <c r="G945" s="968"/>
      <c r="H945" s="968"/>
      <c r="I945" s="968"/>
      <c r="J945" s="968"/>
      <c r="K945" s="967"/>
      <c r="L945" s="967"/>
      <c r="M945" s="967"/>
      <c r="N945" s="967"/>
      <c r="O945" s="1007"/>
      <c r="P945" s="1007"/>
      <c r="Q945" s="1008"/>
    </row>
    <row r="946" spans="1:17" hidden="1">
      <c r="A946" s="966"/>
      <c r="B946" s="967"/>
      <c r="C946" s="967">
        <v>901</v>
      </c>
      <c r="D946" s="967"/>
      <c r="E946" s="968"/>
      <c r="F946" s="968"/>
      <c r="G946" s="968"/>
      <c r="H946" s="968"/>
      <c r="I946" s="968"/>
      <c r="J946" s="968"/>
      <c r="K946" s="967"/>
      <c r="L946" s="967"/>
      <c r="M946" s="967"/>
      <c r="N946" s="967"/>
      <c r="O946" s="1007"/>
      <c r="P946" s="1007"/>
      <c r="Q946" s="1008"/>
    </row>
    <row r="947" spans="1:17" hidden="1">
      <c r="A947" s="966"/>
      <c r="B947" s="967"/>
      <c r="C947" s="967">
        <v>902</v>
      </c>
      <c r="D947" s="967"/>
      <c r="E947" s="968"/>
      <c r="F947" s="968"/>
      <c r="G947" s="968"/>
      <c r="H947" s="968"/>
      <c r="I947" s="968"/>
      <c r="J947" s="968"/>
      <c r="K947" s="967"/>
      <c r="L947" s="967"/>
      <c r="M947" s="967"/>
      <c r="N947" s="967"/>
      <c r="O947" s="1007"/>
      <c r="P947" s="1007"/>
      <c r="Q947" s="1008"/>
    </row>
    <row r="948" spans="1:17" hidden="1">
      <c r="A948" s="966"/>
      <c r="B948" s="967"/>
      <c r="C948" s="967">
        <v>903</v>
      </c>
      <c r="D948" s="967"/>
      <c r="E948" s="968"/>
      <c r="F948" s="968"/>
      <c r="G948" s="968"/>
      <c r="H948" s="968"/>
      <c r="I948" s="968"/>
      <c r="J948" s="968"/>
      <c r="K948" s="967"/>
      <c r="L948" s="967"/>
      <c r="M948" s="967"/>
      <c r="N948" s="967"/>
      <c r="O948" s="1007"/>
      <c r="P948" s="1007"/>
      <c r="Q948" s="1008"/>
    </row>
    <row r="949" spans="1:17" hidden="1">
      <c r="A949" s="966"/>
      <c r="B949" s="967"/>
      <c r="C949" s="967">
        <v>904</v>
      </c>
      <c r="D949" s="967"/>
      <c r="E949" s="968"/>
      <c r="F949" s="968"/>
      <c r="G949" s="968"/>
      <c r="H949" s="968"/>
      <c r="I949" s="968"/>
      <c r="J949" s="968"/>
      <c r="K949" s="967"/>
      <c r="L949" s="967"/>
      <c r="M949" s="967"/>
      <c r="N949" s="967"/>
      <c r="O949" s="1007"/>
      <c r="P949" s="1007"/>
      <c r="Q949" s="1008"/>
    </row>
    <row r="950" spans="1:17" hidden="1">
      <c r="A950" s="966"/>
      <c r="B950" s="967"/>
      <c r="C950" s="967">
        <v>905</v>
      </c>
      <c r="D950" s="967"/>
      <c r="E950" s="968"/>
      <c r="F950" s="968"/>
      <c r="G950" s="968"/>
      <c r="H950" s="968"/>
      <c r="I950" s="968"/>
      <c r="J950" s="968"/>
      <c r="K950" s="967"/>
      <c r="L950" s="967"/>
      <c r="M950" s="967"/>
      <c r="N950" s="967"/>
      <c r="O950" s="1007"/>
      <c r="P950" s="1007"/>
      <c r="Q950" s="1008"/>
    </row>
    <row r="951" spans="1:17" hidden="1">
      <c r="A951" s="966"/>
      <c r="B951" s="967"/>
      <c r="C951" s="967">
        <v>906</v>
      </c>
      <c r="D951" s="967"/>
      <c r="E951" s="968"/>
      <c r="F951" s="968"/>
      <c r="G951" s="968"/>
      <c r="H951" s="968"/>
      <c r="I951" s="968"/>
      <c r="J951" s="968"/>
      <c r="K951" s="967"/>
      <c r="L951" s="967"/>
      <c r="M951" s="967"/>
      <c r="N951" s="967"/>
      <c r="O951" s="1007"/>
      <c r="P951" s="1007"/>
      <c r="Q951" s="1008"/>
    </row>
    <row r="952" spans="1:17" hidden="1">
      <c r="A952" s="966"/>
      <c r="B952" s="967"/>
      <c r="C952" s="967">
        <v>907</v>
      </c>
      <c r="D952" s="967"/>
      <c r="E952" s="968"/>
      <c r="F952" s="968"/>
      <c r="G952" s="968"/>
      <c r="H952" s="968"/>
      <c r="I952" s="968"/>
      <c r="J952" s="968"/>
      <c r="K952" s="967"/>
      <c r="L952" s="967"/>
      <c r="M952" s="967"/>
      <c r="N952" s="967"/>
      <c r="O952" s="1007"/>
      <c r="P952" s="1007"/>
      <c r="Q952" s="1008"/>
    </row>
    <row r="953" spans="1:17" hidden="1">
      <c r="A953" s="966"/>
      <c r="B953" s="967"/>
      <c r="C953" s="967">
        <v>908</v>
      </c>
      <c r="D953" s="967"/>
      <c r="E953" s="968"/>
      <c r="F953" s="968"/>
      <c r="G953" s="968"/>
      <c r="H953" s="968"/>
      <c r="I953" s="968"/>
      <c r="J953" s="968"/>
      <c r="K953" s="967"/>
      <c r="L953" s="967"/>
      <c r="M953" s="967"/>
      <c r="N953" s="967"/>
      <c r="O953" s="1007"/>
      <c r="P953" s="1007"/>
      <c r="Q953" s="1008"/>
    </row>
    <row r="954" spans="1:17" hidden="1">
      <c r="A954" s="966"/>
      <c r="B954" s="967"/>
      <c r="C954" s="967">
        <v>909</v>
      </c>
      <c r="D954" s="967"/>
      <c r="E954" s="968"/>
      <c r="F954" s="968"/>
      <c r="G954" s="968"/>
      <c r="H954" s="968"/>
      <c r="I954" s="968"/>
      <c r="J954" s="968"/>
      <c r="K954" s="967"/>
      <c r="L954" s="967"/>
      <c r="M954" s="967"/>
      <c r="N954" s="967"/>
      <c r="O954" s="1007"/>
      <c r="P954" s="1007"/>
      <c r="Q954" s="1008"/>
    </row>
    <row r="955" spans="1:17" hidden="1">
      <c r="A955" s="966"/>
      <c r="B955" s="967"/>
      <c r="C955" s="967">
        <v>910</v>
      </c>
      <c r="D955" s="967"/>
      <c r="E955" s="968"/>
      <c r="F955" s="968"/>
      <c r="G955" s="968"/>
      <c r="H955" s="968"/>
      <c r="I955" s="968"/>
      <c r="J955" s="968"/>
      <c r="K955" s="967"/>
      <c r="L955" s="967"/>
      <c r="M955" s="967"/>
      <c r="N955" s="967"/>
      <c r="O955" s="1007"/>
      <c r="P955" s="1007"/>
      <c r="Q955" s="1008"/>
    </row>
    <row r="956" spans="1:17" hidden="1">
      <c r="A956" s="966"/>
      <c r="B956" s="967"/>
      <c r="C956" s="967">
        <v>911</v>
      </c>
      <c r="D956" s="967"/>
      <c r="E956" s="968"/>
      <c r="F956" s="968"/>
      <c r="G956" s="968"/>
      <c r="H956" s="968"/>
      <c r="I956" s="968"/>
      <c r="J956" s="968"/>
      <c r="K956" s="967"/>
      <c r="L956" s="967"/>
      <c r="M956" s="967"/>
      <c r="N956" s="967"/>
      <c r="O956" s="1007"/>
      <c r="P956" s="1007"/>
      <c r="Q956" s="1008"/>
    </row>
    <row r="957" spans="1:17" hidden="1">
      <c r="A957" s="966"/>
      <c r="B957" s="967"/>
      <c r="C957" s="967">
        <v>912</v>
      </c>
      <c r="D957" s="967"/>
      <c r="E957" s="968"/>
      <c r="F957" s="968"/>
      <c r="G957" s="968"/>
      <c r="H957" s="968"/>
      <c r="I957" s="968"/>
      <c r="J957" s="968"/>
      <c r="K957" s="967"/>
      <c r="L957" s="967"/>
      <c r="M957" s="967"/>
      <c r="N957" s="967"/>
      <c r="O957" s="1007"/>
      <c r="P957" s="1007"/>
      <c r="Q957" s="1008"/>
    </row>
    <row r="958" spans="1:17" hidden="1">
      <c r="A958" s="966"/>
      <c r="B958" s="967"/>
      <c r="C958" s="967">
        <v>913</v>
      </c>
      <c r="D958" s="967"/>
      <c r="E958" s="968"/>
      <c r="F958" s="968"/>
      <c r="G958" s="968"/>
      <c r="H958" s="968"/>
      <c r="I958" s="968"/>
      <c r="J958" s="968"/>
      <c r="K958" s="967"/>
      <c r="L958" s="967"/>
      <c r="M958" s="967"/>
      <c r="N958" s="967"/>
      <c r="O958" s="1007"/>
      <c r="P958" s="1007"/>
      <c r="Q958" s="1008"/>
    </row>
    <row r="959" spans="1:17" hidden="1">
      <c r="A959" s="966"/>
      <c r="B959" s="967"/>
      <c r="C959" s="967">
        <v>914</v>
      </c>
      <c r="D959" s="967"/>
      <c r="E959" s="968"/>
      <c r="F959" s="968"/>
      <c r="G959" s="968"/>
      <c r="H959" s="968"/>
      <c r="I959" s="968"/>
      <c r="J959" s="968"/>
      <c r="K959" s="967"/>
      <c r="L959" s="967"/>
      <c r="M959" s="967"/>
      <c r="N959" s="967"/>
      <c r="O959" s="1007"/>
      <c r="P959" s="1007"/>
      <c r="Q959" s="1008"/>
    </row>
    <row r="960" spans="1:17" hidden="1">
      <c r="A960" s="966"/>
      <c r="B960" s="967"/>
      <c r="C960" s="967">
        <v>915</v>
      </c>
      <c r="D960" s="967"/>
      <c r="E960" s="968"/>
      <c r="F960" s="968"/>
      <c r="G960" s="968"/>
      <c r="H960" s="968"/>
      <c r="I960" s="968"/>
      <c r="J960" s="968"/>
      <c r="K960" s="967"/>
      <c r="L960" s="967"/>
      <c r="M960" s="967"/>
      <c r="N960" s="967"/>
      <c r="O960" s="1007"/>
      <c r="P960" s="1007"/>
      <c r="Q960" s="1008"/>
    </row>
    <row r="961" spans="1:17" hidden="1">
      <c r="A961" s="966"/>
      <c r="B961" s="967"/>
      <c r="C961" s="967">
        <v>916</v>
      </c>
      <c r="D961" s="967"/>
      <c r="E961" s="968"/>
      <c r="F961" s="968"/>
      <c r="G961" s="968"/>
      <c r="H961" s="968"/>
      <c r="I961" s="968"/>
      <c r="J961" s="968"/>
      <c r="K961" s="967"/>
      <c r="L961" s="967"/>
      <c r="M961" s="967"/>
      <c r="N961" s="967"/>
      <c r="O961" s="1007"/>
      <c r="P961" s="1007"/>
      <c r="Q961" s="1008"/>
    </row>
    <row r="962" spans="1:17" hidden="1">
      <c r="A962" s="966"/>
      <c r="B962" s="967"/>
      <c r="C962" s="967">
        <v>917</v>
      </c>
      <c r="D962" s="967"/>
      <c r="E962" s="968"/>
      <c r="F962" s="968"/>
      <c r="G962" s="968"/>
      <c r="H962" s="968"/>
      <c r="I962" s="968"/>
      <c r="J962" s="968"/>
      <c r="K962" s="967"/>
      <c r="L962" s="967"/>
      <c r="M962" s="967"/>
      <c r="N962" s="967"/>
      <c r="O962" s="1007"/>
      <c r="P962" s="1007"/>
      <c r="Q962" s="1008"/>
    </row>
    <row r="963" spans="1:17" hidden="1">
      <c r="A963" s="966"/>
      <c r="B963" s="967"/>
      <c r="C963" s="967">
        <v>918</v>
      </c>
      <c r="D963" s="967"/>
      <c r="E963" s="968"/>
      <c r="F963" s="968"/>
      <c r="G963" s="968"/>
      <c r="H963" s="968"/>
      <c r="I963" s="968"/>
      <c r="J963" s="968"/>
      <c r="K963" s="967"/>
      <c r="L963" s="967"/>
      <c r="M963" s="967"/>
      <c r="N963" s="967"/>
      <c r="O963" s="1007"/>
      <c r="P963" s="1007"/>
      <c r="Q963" s="1008"/>
    </row>
    <row r="964" spans="1:17" hidden="1">
      <c r="A964" s="966"/>
      <c r="B964" s="967"/>
      <c r="C964" s="967">
        <v>919</v>
      </c>
      <c r="D964" s="967"/>
      <c r="E964" s="968"/>
      <c r="F964" s="968"/>
      <c r="G964" s="968"/>
      <c r="H964" s="968"/>
      <c r="I964" s="968"/>
      <c r="J964" s="968"/>
      <c r="K964" s="967"/>
      <c r="L964" s="967"/>
      <c r="M964" s="967"/>
      <c r="N964" s="967"/>
      <c r="O964" s="1007"/>
      <c r="P964" s="1007"/>
      <c r="Q964" s="1008"/>
    </row>
    <row r="965" spans="1:17" hidden="1">
      <c r="A965" s="966"/>
      <c r="B965" s="967"/>
      <c r="C965" s="967">
        <v>920</v>
      </c>
      <c r="D965" s="967"/>
      <c r="E965" s="968"/>
      <c r="F965" s="968"/>
      <c r="G965" s="968"/>
      <c r="H965" s="968"/>
      <c r="I965" s="968"/>
      <c r="J965" s="968"/>
      <c r="K965" s="967"/>
      <c r="L965" s="967"/>
      <c r="M965" s="967"/>
      <c r="N965" s="967"/>
      <c r="O965" s="1007"/>
      <c r="P965" s="1007"/>
      <c r="Q965" s="1008"/>
    </row>
    <row r="966" spans="1:17" hidden="1">
      <c r="A966" s="966"/>
      <c r="B966" s="967"/>
      <c r="C966" s="967">
        <v>921</v>
      </c>
      <c r="D966" s="967"/>
      <c r="E966" s="968"/>
      <c r="F966" s="968"/>
      <c r="G966" s="968"/>
      <c r="H966" s="968"/>
      <c r="I966" s="968"/>
      <c r="J966" s="968"/>
      <c r="K966" s="967"/>
      <c r="L966" s="967"/>
      <c r="M966" s="967"/>
      <c r="N966" s="967"/>
      <c r="O966" s="1007"/>
      <c r="P966" s="1007"/>
      <c r="Q966" s="1008"/>
    </row>
    <row r="967" spans="1:17" hidden="1">
      <c r="A967" s="966"/>
      <c r="B967" s="967"/>
      <c r="C967" s="967">
        <v>922</v>
      </c>
      <c r="D967" s="967"/>
      <c r="E967" s="968"/>
      <c r="F967" s="968"/>
      <c r="G967" s="968"/>
      <c r="H967" s="968"/>
      <c r="I967" s="968"/>
      <c r="J967" s="968"/>
      <c r="K967" s="967"/>
      <c r="L967" s="967"/>
      <c r="M967" s="967"/>
      <c r="N967" s="967"/>
      <c r="O967" s="1007"/>
      <c r="P967" s="1007"/>
      <c r="Q967" s="1008"/>
    </row>
    <row r="968" spans="1:17" hidden="1">
      <c r="A968" s="966"/>
      <c r="B968" s="967"/>
      <c r="C968" s="967">
        <v>923</v>
      </c>
      <c r="D968" s="967"/>
      <c r="E968" s="968"/>
      <c r="F968" s="968"/>
      <c r="G968" s="968"/>
      <c r="H968" s="968"/>
      <c r="I968" s="968"/>
      <c r="J968" s="968"/>
      <c r="K968" s="967"/>
      <c r="L968" s="967"/>
      <c r="M968" s="967"/>
      <c r="N968" s="967"/>
      <c r="O968" s="1007"/>
      <c r="P968" s="1007"/>
      <c r="Q968" s="1008"/>
    </row>
    <row r="969" spans="1:17" hidden="1">
      <c r="A969" s="966"/>
      <c r="B969" s="967"/>
      <c r="C969" s="967">
        <v>924</v>
      </c>
      <c r="D969" s="967"/>
      <c r="E969" s="968"/>
      <c r="F969" s="968"/>
      <c r="G969" s="968"/>
      <c r="H969" s="968"/>
      <c r="I969" s="968"/>
      <c r="J969" s="968"/>
      <c r="K969" s="967"/>
      <c r="L969" s="967"/>
      <c r="M969" s="967"/>
      <c r="N969" s="967"/>
      <c r="O969" s="1007"/>
      <c r="P969" s="1007"/>
      <c r="Q969" s="1008"/>
    </row>
    <row r="970" spans="1:17" hidden="1">
      <c r="A970" s="966"/>
      <c r="B970" s="967"/>
      <c r="C970" s="967">
        <v>925</v>
      </c>
      <c r="D970" s="967"/>
      <c r="E970" s="968"/>
      <c r="F970" s="968"/>
      <c r="G970" s="968"/>
      <c r="H970" s="968"/>
      <c r="I970" s="968"/>
      <c r="J970" s="968"/>
      <c r="K970" s="967"/>
      <c r="L970" s="967"/>
      <c r="M970" s="967"/>
      <c r="N970" s="967"/>
      <c r="O970" s="1007"/>
      <c r="P970" s="1007"/>
      <c r="Q970" s="1008"/>
    </row>
    <row r="971" spans="1:17" hidden="1">
      <c r="A971" s="966"/>
      <c r="B971" s="967"/>
      <c r="C971" s="967">
        <v>926</v>
      </c>
      <c r="D971" s="967"/>
      <c r="E971" s="968"/>
      <c r="F971" s="968"/>
      <c r="G971" s="968"/>
      <c r="H971" s="968"/>
      <c r="I971" s="968"/>
      <c r="J971" s="968"/>
      <c r="K971" s="967"/>
      <c r="L971" s="967"/>
      <c r="M971" s="967"/>
      <c r="N971" s="967"/>
      <c r="O971" s="1007"/>
      <c r="P971" s="1007"/>
      <c r="Q971" s="1008"/>
    </row>
    <row r="972" spans="1:17" hidden="1">
      <c r="A972" s="966"/>
      <c r="B972" s="967"/>
      <c r="C972" s="967">
        <v>927</v>
      </c>
      <c r="D972" s="967"/>
      <c r="E972" s="968"/>
      <c r="F972" s="968"/>
      <c r="G972" s="968"/>
      <c r="H972" s="968"/>
      <c r="I972" s="968"/>
      <c r="J972" s="968"/>
      <c r="K972" s="967"/>
      <c r="L972" s="967"/>
      <c r="M972" s="967"/>
      <c r="N972" s="967"/>
      <c r="O972" s="1007"/>
      <c r="P972" s="1007"/>
      <c r="Q972" s="1008"/>
    </row>
    <row r="973" spans="1:17" hidden="1">
      <c r="A973" s="966"/>
      <c r="B973" s="967"/>
      <c r="C973" s="967">
        <v>928</v>
      </c>
      <c r="D973" s="967"/>
      <c r="E973" s="968"/>
      <c r="F973" s="968"/>
      <c r="G973" s="968"/>
      <c r="H973" s="968"/>
      <c r="I973" s="968"/>
      <c r="J973" s="968"/>
      <c r="K973" s="967"/>
      <c r="L973" s="967"/>
      <c r="M973" s="967"/>
      <c r="N973" s="967"/>
      <c r="O973" s="1007"/>
      <c r="P973" s="1007"/>
      <c r="Q973" s="1008"/>
    </row>
    <row r="974" spans="1:17" hidden="1">
      <c r="A974" s="966"/>
      <c r="B974" s="967"/>
      <c r="C974" s="967">
        <v>929</v>
      </c>
      <c r="D974" s="967"/>
      <c r="E974" s="968"/>
      <c r="F974" s="968"/>
      <c r="G974" s="968"/>
      <c r="H974" s="968"/>
      <c r="I974" s="968"/>
      <c r="J974" s="968"/>
      <c r="K974" s="967"/>
      <c r="L974" s="967"/>
      <c r="M974" s="967"/>
      <c r="N974" s="967"/>
      <c r="O974" s="1007"/>
      <c r="P974" s="1007"/>
      <c r="Q974" s="1008"/>
    </row>
    <row r="975" spans="1:17" hidden="1">
      <c r="A975" s="966"/>
      <c r="B975" s="967"/>
      <c r="C975" s="967">
        <v>930</v>
      </c>
      <c r="D975" s="967"/>
      <c r="E975" s="968"/>
      <c r="F975" s="968"/>
      <c r="G975" s="968"/>
      <c r="H975" s="968"/>
      <c r="I975" s="968"/>
      <c r="J975" s="968"/>
      <c r="K975" s="967"/>
      <c r="L975" s="967"/>
      <c r="M975" s="967"/>
      <c r="N975" s="967"/>
      <c r="O975" s="1007"/>
      <c r="P975" s="1007"/>
      <c r="Q975" s="1008"/>
    </row>
    <row r="976" spans="1:17" hidden="1">
      <c r="A976" s="966"/>
      <c r="B976" s="967"/>
      <c r="C976" s="967">
        <v>931</v>
      </c>
      <c r="D976" s="967"/>
      <c r="E976" s="968"/>
      <c r="F976" s="968"/>
      <c r="G976" s="968"/>
      <c r="H976" s="968"/>
      <c r="I976" s="968"/>
      <c r="J976" s="968"/>
      <c r="K976" s="967"/>
      <c r="L976" s="967"/>
      <c r="M976" s="967"/>
      <c r="N976" s="967"/>
      <c r="O976" s="1007"/>
      <c r="P976" s="1007"/>
      <c r="Q976" s="1008"/>
    </row>
    <row r="977" spans="1:17" hidden="1">
      <c r="A977" s="966"/>
      <c r="B977" s="967"/>
      <c r="C977" s="967">
        <v>932</v>
      </c>
      <c r="D977" s="967"/>
      <c r="E977" s="968"/>
      <c r="F977" s="968"/>
      <c r="G977" s="968"/>
      <c r="H977" s="968"/>
      <c r="I977" s="968"/>
      <c r="J977" s="968"/>
      <c r="K977" s="967"/>
      <c r="L977" s="967"/>
      <c r="M977" s="967"/>
      <c r="N977" s="967"/>
      <c r="O977" s="1007"/>
      <c r="P977" s="1007"/>
      <c r="Q977" s="1008"/>
    </row>
    <row r="978" spans="1:17" hidden="1">
      <c r="A978" s="966"/>
      <c r="B978" s="967"/>
      <c r="C978" s="967">
        <v>933</v>
      </c>
      <c r="D978" s="967"/>
      <c r="E978" s="968"/>
      <c r="F978" s="968"/>
      <c r="G978" s="968"/>
      <c r="H978" s="968"/>
      <c r="I978" s="968"/>
      <c r="J978" s="968"/>
      <c r="K978" s="967"/>
      <c r="L978" s="967"/>
      <c r="M978" s="967"/>
      <c r="N978" s="967"/>
      <c r="O978" s="1007"/>
      <c r="P978" s="1007"/>
      <c r="Q978" s="1008"/>
    </row>
    <row r="979" spans="1:17" hidden="1">
      <c r="A979" s="966"/>
      <c r="B979" s="967"/>
      <c r="C979" s="967">
        <v>934</v>
      </c>
      <c r="D979" s="967"/>
      <c r="E979" s="968"/>
      <c r="F979" s="968"/>
      <c r="G979" s="968"/>
      <c r="H979" s="968"/>
      <c r="I979" s="968"/>
      <c r="J979" s="968"/>
      <c r="K979" s="967"/>
      <c r="L979" s="967"/>
      <c r="M979" s="967"/>
      <c r="N979" s="967"/>
      <c r="O979" s="1007"/>
      <c r="P979" s="1007"/>
      <c r="Q979" s="1008"/>
    </row>
    <row r="980" spans="1:17" hidden="1">
      <c r="A980" s="966"/>
      <c r="B980" s="967"/>
      <c r="C980" s="967">
        <v>935</v>
      </c>
      <c r="D980" s="967"/>
      <c r="E980" s="968"/>
      <c r="F980" s="968"/>
      <c r="G980" s="968"/>
      <c r="H980" s="968"/>
      <c r="I980" s="968"/>
      <c r="J980" s="968"/>
      <c r="K980" s="967"/>
      <c r="L980" s="967"/>
      <c r="M980" s="967"/>
      <c r="N980" s="967"/>
      <c r="O980" s="1007"/>
      <c r="P980" s="1007"/>
      <c r="Q980" s="1008"/>
    </row>
    <row r="981" spans="1:17" hidden="1">
      <c r="A981" s="966"/>
      <c r="B981" s="967"/>
      <c r="C981" s="967">
        <v>936</v>
      </c>
      <c r="D981" s="967"/>
      <c r="E981" s="968"/>
      <c r="F981" s="968"/>
      <c r="G981" s="968"/>
      <c r="H981" s="968"/>
      <c r="I981" s="968"/>
      <c r="J981" s="968"/>
      <c r="K981" s="967"/>
      <c r="L981" s="967"/>
      <c r="M981" s="967"/>
      <c r="N981" s="967"/>
      <c r="O981" s="1007"/>
      <c r="P981" s="1007"/>
      <c r="Q981" s="1008"/>
    </row>
    <row r="982" spans="1:17" hidden="1">
      <c r="A982" s="966"/>
      <c r="B982" s="967"/>
      <c r="C982" s="967">
        <v>937</v>
      </c>
      <c r="D982" s="967"/>
      <c r="E982" s="968"/>
      <c r="F982" s="968"/>
      <c r="G982" s="968"/>
      <c r="H982" s="968"/>
      <c r="I982" s="968"/>
      <c r="J982" s="968"/>
      <c r="K982" s="967"/>
      <c r="L982" s="967"/>
      <c r="M982" s="967"/>
      <c r="N982" s="967"/>
      <c r="O982" s="1007"/>
      <c r="P982" s="1007"/>
      <c r="Q982" s="1008"/>
    </row>
    <row r="983" spans="1:17" hidden="1">
      <c r="A983" s="966"/>
      <c r="B983" s="967"/>
      <c r="C983" s="967">
        <v>938</v>
      </c>
      <c r="D983" s="967"/>
      <c r="E983" s="968"/>
      <c r="F983" s="968"/>
      <c r="G983" s="968"/>
      <c r="H983" s="968"/>
      <c r="I983" s="968"/>
      <c r="J983" s="968"/>
      <c r="K983" s="967"/>
      <c r="L983" s="967"/>
      <c r="M983" s="967"/>
      <c r="N983" s="967"/>
      <c r="O983" s="1007"/>
      <c r="P983" s="1007"/>
      <c r="Q983" s="1008"/>
    </row>
    <row r="984" spans="1:17" hidden="1">
      <c r="A984" s="966"/>
      <c r="B984" s="967"/>
      <c r="C984" s="967">
        <v>939</v>
      </c>
      <c r="D984" s="967"/>
      <c r="E984" s="968"/>
      <c r="F984" s="968"/>
      <c r="G984" s="968"/>
      <c r="H984" s="968"/>
      <c r="I984" s="968"/>
      <c r="J984" s="968"/>
      <c r="K984" s="967"/>
      <c r="L984" s="967"/>
      <c r="M984" s="967"/>
      <c r="N984" s="967"/>
      <c r="O984" s="1007"/>
      <c r="P984" s="1007"/>
      <c r="Q984" s="1008"/>
    </row>
    <row r="985" spans="1:17" hidden="1">
      <c r="A985" s="966"/>
      <c r="B985" s="967"/>
      <c r="C985" s="967">
        <v>940</v>
      </c>
      <c r="D985" s="967"/>
      <c r="E985" s="968"/>
      <c r="F985" s="968"/>
      <c r="G985" s="968"/>
      <c r="H985" s="968"/>
      <c r="I985" s="968"/>
      <c r="J985" s="968"/>
      <c r="K985" s="967"/>
      <c r="L985" s="967"/>
      <c r="M985" s="967"/>
      <c r="N985" s="967"/>
      <c r="O985" s="1007"/>
      <c r="P985" s="1007"/>
      <c r="Q985" s="1008"/>
    </row>
    <row r="986" spans="1:17" hidden="1">
      <c r="A986" s="966"/>
      <c r="B986" s="967"/>
      <c r="C986" s="967">
        <v>941</v>
      </c>
      <c r="D986" s="967"/>
      <c r="E986" s="968"/>
      <c r="F986" s="968"/>
      <c r="G986" s="968"/>
      <c r="H986" s="968"/>
      <c r="I986" s="968"/>
      <c r="J986" s="968"/>
      <c r="K986" s="967"/>
      <c r="L986" s="967"/>
      <c r="M986" s="967"/>
      <c r="N986" s="967"/>
      <c r="O986" s="1007"/>
      <c r="P986" s="1007"/>
      <c r="Q986" s="1008"/>
    </row>
    <row r="987" spans="1:17" hidden="1">
      <c r="A987" s="966"/>
      <c r="B987" s="967"/>
      <c r="C987" s="967">
        <v>942</v>
      </c>
      <c r="D987" s="967"/>
      <c r="E987" s="968"/>
      <c r="F987" s="968"/>
      <c r="G987" s="968"/>
      <c r="H987" s="968"/>
      <c r="I987" s="968"/>
      <c r="J987" s="968"/>
      <c r="K987" s="967"/>
      <c r="L987" s="967"/>
      <c r="M987" s="967"/>
      <c r="N987" s="967"/>
      <c r="O987" s="1007"/>
      <c r="P987" s="1007"/>
      <c r="Q987" s="1008"/>
    </row>
    <row r="988" spans="1:17" hidden="1">
      <c r="A988" s="966"/>
      <c r="B988" s="967"/>
      <c r="C988" s="967">
        <v>943</v>
      </c>
      <c r="D988" s="967"/>
      <c r="E988" s="968"/>
      <c r="F988" s="968"/>
      <c r="G988" s="968"/>
      <c r="H988" s="968"/>
      <c r="I988" s="968"/>
      <c r="J988" s="968"/>
      <c r="K988" s="967"/>
      <c r="L988" s="967"/>
      <c r="M988" s="967"/>
      <c r="N988" s="967"/>
      <c r="O988" s="1007"/>
      <c r="P988" s="1007"/>
      <c r="Q988" s="1008"/>
    </row>
    <row r="989" spans="1:17" hidden="1">
      <c r="A989" s="966"/>
      <c r="B989" s="967"/>
      <c r="C989" s="967">
        <v>944</v>
      </c>
      <c r="D989" s="967"/>
      <c r="E989" s="968"/>
      <c r="F989" s="968"/>
      <c r="G989" s="968"/>
      <c r="H989" s="968"/>
      <c r="I989" s="968"/>
      <c r="J989" s="968"/>
      <c r="K989" s="967"/>
      <c r="L989" s="967"/>
      <c r="M989" s="967"/>
      <c r="N989" s="967"/>
      <c r="O989" s="1007"/>
      <c r="P989" s="1007"/>
      <c r="Q989" s="1008"/>
    </row>
    <row r="990" spans="1:17" hidden="1">
      <c r="A990" s="966"/>
      <c r="B990" s="967"/>
      <c r="C990" s="967">
        <v>945</v>
      </c>
      <c r="D990" s="967"/>
      <c r="E990" s="968"/>
      <c r="F990" s="968"/>
      <c r="G990" s="968"/>
      <c r="H990" s="968"/>
      <c r="I990" s="968"/>
      <c r="J990" s="968"/>
      <c r="K990" s="967"/>
      <c r="L990" s="967"/>
      <c r="M990" s="967"/>
      <c r="N990" s="967"/>
      <c r="O990" s="1007"/>
      <c r="P990" s="1007"/>
      <c r="Q990" s="1008"/>
    </row>
    <row r="991" spans="1:17" hidden="1">
      <c r="A991" s="966"/>
      <c r="B991" s="967"/>
      <c r="C991" s="967">
        <v>946</v>
      </c>
      <c r="D991" s="967"/>
      <c r="E991" s="968"/>
      <c r="F991" s="968"/>
      <c r="G991" s="968"/>
      <c r="H991" s="968"/>
      <c r="I991" s="968"/>
      <c r="J991" s="968"/>
      <c r="K991" s="967"/>
      <c r="L991" s="967"/>
      <c r="M991" s="967"/>
      <c r="N991" s="967"/>
      <c r="O991" s="1007"/>
      <c r="P991" s="1007"/>
      <c r="Q991" s="1008"/>
    </row>
    <row r="992" spans="1:17" hidden="1">
      <c r="A992" s="966"/>
      <c r="B992" s="967"/>
      <c r="C992" s="967">
        <v>947</v>
      </c>
      <c r="D992" s="967"/>
      <c r="E992" s="968"/>
      <c r="F992" s="968"/>
      <c r="G992" s="968"/>
      <c r="H992" s="968"/>
      <c r="I992" s="968"/>
      <c r="J992" s="968"/>
      <c r="K992" s="967"/>
      <c r="L992" s="967"/>
      <c r="M992" s="967"/>
      <c r="N992" s="967"/>
      <c r="O992" s="1007"/>
      <c r="P992" s="1007"/>
      <c r="Q992" s="1008"/>
    </row>
    <row r="993" spans="1:17" hidden="1">
      <c r="A993" s="966"/>
      <c r="B993" s="967"/>
      <c r="C993" s="967">
        <v>948</v>
      </c>
      <c r="D993" s="967"/>
      <c r="E993" s="968"/>
      <c r="F993" s="968"/>
      <c r="G993" s="968"/>
      <c r="H993" s="968"/>
      <c r="I993" s="968"/>
      <c r="J993" s="968"/>
      <c r="K993" s="967"/>
      <c r="L993" s="967"/>
      <c r="M993" s="967"/>
      <c r="N993" s="967"/>
      <c r="O993" s="1007"/>
      <c r="P993" s="1007"/>
      <c r="Q993" s="1008"/>
    </row>
    <row r="994" spans="1:17" hidden="1">
      <c r="A994" s="966"/>
      <c r="B994" s="967"/>
      <c r="C994" s="967">
        <v>949</v>
      </c>
      <c r="D994" s="967"/>
      <c r="E994" s="968"/>
      <c r="F994" s="968"/>
      <c r="G994" s="968"/>
      <c r="H994" s="968"/>
      <c r="I994" s="968"/>
      <c r="J994" s="968"/>
      <c r="K994" s="967"/>
      <c r="L994" s="967"/>
      <c r="M994" s="967"/>
      <c r="N994" s="967"/>
      <c r="O994" s="1007"/>
      <c r="P994" s="1007"/>
      <c r="Q994" s="1008"/>
    </row>
    <row r="995" spans="1:17" hidden="1">
      <c r="A995" s="966"/>
      <c r="B995" s="967"/>
      <c r="C995" s="967">
        <v>950</v>
      </c>
      <c r="D995" s="967"/>
      <c r="E995" s="968"/>
      <c r="F995" s="968"/>
      <c r="G995" s="968"/>
      <c r="H995" s="968"/>
      <c r="I995" s="968"/>
      <c r="J995" s="968"/>
      <c r="K995" s="967"/>
      <c r="L995" s="967"/>
      <c r="M995" s="967"/>
      <c r="N995" s="967"/>
      <c r="O995" s="1007"/>
      <c r="P995" s="1007"/>
      <c r="Q995" s="1008"/>
    </row>
    <row r="996" spans="1:17" hidden="1">
      <c r="A996" s="966"/>
      <c r="B996" s="967"/>
      <c r="C996" s="967">
        <v>951</v>
      </c>
      <c r="D996" s="967"/>
      <c r="E996" s="968"/>
      <c r="F996" s="968"/>
      <c r="G996" s="968"/>
      <c r="H996" s="968"/>
      <c r="I996" s="968"/>
      <c r="J996" s="968"/>
      <c r="K996" s="967"/>
      <c r="L996" s="967"/>
      <c r="M996" s="967"/>
      <c r="N996" s="967"/>
      <c r="O996" s="1007"/>
      <c r="P996" s="1007"/>
      <c r="Q996" s="1008"/>
    </row>
    <row r="997" spans="1:17" hidden="1">
      <c r="A997" s="966"/>
      <c r="B997" s="967"/>
      <c r="C997" s="967">
        <v>952</v>
      </c>
      <c r="D997" s="967"/>
      <c r="E997" s="968"/>
      <c r="F997" s="968"/>
      <c r="G997" s="968"/>
      <c r="H997" s="968"/>
      <c r="I997" s="968"/>
      <c r="J997" s="968"/>
      <c r="K997" s="967"/>
      <c r="L997" s="967"/>
      <c r="M997" s="967"/>
      <c r="N997" s="967"/>
      <c r="O997" s="1007"/>
      <c r="P997" s="1007"/>
      <c r="Q997" s="1008"/>
    </row>
    <row r="998" spans="1:17" hidden="1">
      <c r="A998" s="966"/>
      <c r="B998" s="967"/>
      <c r="C998" s="967">
        <v>953</v>
      </c>
      <c r="D998" s="967"/>
      <c r="E998" s="968"/>
      <c r="F998" s="968"/>
      <c r="G998" s="968"/>
      <c r="H998" s="968"/>
      <c r="I998" s="968"/>
      <c r="J998" s="968"/>
      <c r="K998" s="967"/>
      <c r="L998" s="967"/>
      <c r="M998" s="967"/>
      <c r="N998" s="967"/>
      <c r="O998" s="1007"/>
      <c r="P998" s="1007"/>
      <c r="Q998" s="1008"/>
    </row>
    <row r="999" spans="1:17" hidden="1">
      <c r="A999" s="966"/>
      <c r="B999" s="967"/>
      <c r="C999" s="967">
        <v>954</v>
      </c>
      <c r="D999" s="967"/>
      <c r="E999" s="968"/>
      <c r="F999" s="968"/>
      <c r="G999" s="968"/>
      <c r="H999" s="968"/>
      <c r="I999" s="968"/>
      <c r="J999" s="968"/>
      <c r="K999" s="967"/>
      <c r="L999" s="967"/>
      <c r="M999" s="967"/>
      <c r="N999" s="967"/>
      <c r="O999" s="1007"/>
      <c r="P999" s="1007"/>
      <c r="Q999" s="1008"/>
    </row>
    <row r="1000" spans="1:17" hidden="1">
      <c r="A1000" s="966"/>
      <c r="B1000" s="967"/>
      <c r="C1000" s="967">
        <v>955</v>
      </c>
      <c r="D1000" s="967"/>
      <c r="E1000" s="968"/>
      <c r="F1000" s="968"/>
      <c r="G1000" s="968"/>
      <c r="H1000" s="968"/>
      <c r="I1000" s="968"/>
      <c r="J1000" s="968"/>
      <c r="K1000" s="967"/>
      <c r="L1000" s="967"/>
      <c r="M1000" s="967"/>
      <c r="N1000" s="967"/>
      <c r="O1000" s="1007"/>
      <c r="P1000" s="1007"/>
      <c r="Q1000" s="1008"/>
    </row>
    <row r="1001" spans="1:17" hidden="1">
      <c r="A1001" s="966"/>
      <c r="B1001" s="967"/>
      <c r="C1001" s="967">
        <v>956</v>
      </c>
      <c r="D1001" s="967"/>
      <c r="E1001" s="968"/>
      <c r="F1001" s="968"/>
      <c r="G1001" s="968"/>
      <c r="H1001" s="968"/>
      <c r="I1001" s="968"/>
      <c r="J1001" s="968"/>
      <c r="K1001" s="967"/>
      <c r="L1001" s="967"/>
      <c r="M1001" s="967"/>
      <c r="N1001" s="967"/>
      <c r="O1001" s="1007"/>
      <c r="P1001" s="1007"/>
      <c r="Q1001" s="1008"/>
    </row>
    <row r="1002" spans="1:17" hidden="1">
      <c r="A1002" s="966"/>
      <c r="B1002" s="967"/>
      <c r="C1002" s="967">
        <v>957</v>
      </c>
      <c r="D1002" s="967"/>
      <c r="E1002" s="968"/>
      <c r="F1002" s="968"/>
      <c r="G1002" s="968"/>
      <c r="H1002" s="968"/>
      <c r="I1002" s="968"/>
      <c r="J1002" s="968"/>
      <c r="K1002" s="967"/>
      <c r="L1002" s="967"/>
      <c r="M1002" s="967"/>
      <c r="N1002" s="967"/>
      <c r="O1002" s="1007"/>
      <c r="P1002" s="1007"/>
      <c r="Q1002" s="1008"/>
    </row>
    <row r="1003" spans="1:17" hidden="1">
      <c r="A1003" s="966"/>
      <c r="B1003" s="967"/>
      <c r="C1003" s="967">
        <v>958</v>
      </c>
      <c r="D1003" s="967"/>
      <c r="E1003" s="968"/>
      <c r="F1003" s="968"/>
      <c r="G1003" s="968"/>
      <c r="H1003" s="968"/>
      <c r="I1003" s="968"/>
      <c r="J1003" s="968"/>
      <c r="K1003" s="967"/>
      <c r="L1003" s="967"/>
      <c r="M1003" s="967"/>
      <c r="N1003" s="967"/>
      <c r="O1003" s="1007"/>
      <c r="P1003" s="1007"/>
      <c r="Q1003" s="1008"/>
    </row>
    <row r="1004" spans="1:17" hidden="1">
      <c r="A1004" s="966"/>
      <c r="B1004" s="967"/>
      <c r="C1004" s="967">
        <v>959</v>
      </c>
      <c r="D1004" s="967"/>
      <c r="E1004" s="968"/>
      <c r="F1004" s="968"/>
      <c r="G1004" s="968"/>
      <c r="H1004" s="968"/>
      <c r="I1004" s="968"/>
      <c r="J1004" s="968"/>
      <c r="K1004" s="967"/>
      <c r="L1004" s="967"/>
      <c r="M1004" s="967"/>
      <c r="N1004" s="967"/>
      <c r="O1004" s="1007"/>
      <c r="P1004" s="1007"/>
      <c r="Q1004" s="1008"/>
    </row>
    <row r="1005" spans="1:17" hidden="1">
      <c r="A1005" s="966"/>
      <c r="B1005" s="967"/>
      <c r="C1005" s="967">
        <v>960</v>
      </c>
      <c r="D1005" s="967"/>
      <c r="E1005" s="968"/>
      <c r="F1005" s="968"/>
      <c r="G1005" s="968"/>
      <c r="H1005" s="968"/>
      <c r="I1005" s="968"/>
      <c r="J1005" s="968"/>
      <c r="K1005" s="967"/>
      <c r="L1005" s="967"/>
      <c r="M1005" s="967"/>
      <c r="N1005" s="967"/>
      <c r="O1005" s="1007"/>
      <c r="P1005" s="1007"/>
      <c r="Q1005" s="1008"/>
    </row>
    <row r="1006" spans="1:17" hidden="1">
      <c r="A1006" s="966"/>
      <c r="B1006" s="967"/>
      <c r="C1006" s="967">
        <v>961</v>
      </c>
      <c r="D1006" s="967"/>
      <c r="E1006" s="968"/>
      <c r="F1006" s="968"/>
      <c r="G1006" s="968"/>
      <c r="H1006" s="968"/>
      <c r="I1006" s="968"/>
      <c r="J1006" s="968"/>
      <c r="K1006" s="967"/>
      <c r="L1006" s="967"/>
      <c r="M1006" s="967"/>
      <c r="N1006" s="967"/>
      <c r="O1006" s="1007"/>
      <c r="P1006" s="1007"/>
      <c r="Q1006" s="1008"/>
    </row>
    <row r="1007" spans="1:17" hidden="1">
      <c r="A1007" s="966"/>
      <c r="B1007" s="967"/>
      <c r="C1007" s="967">
        <v>962</v>
      </c>
      <c r="D1007" s="967"/>
      <c r="E1007" s="968"/>
      <c r="F1007" s="968"/>
      <c r="G1007" s="968"/>
      <c r="H1007" s="968"/>
      <c r="I1007" s="968"/>
      <c r="J1007" s="968"/>
      <c r="K1007" s="967"/>
      <c r="L1007" s="967"/>
      <c r="M1007" s="967"/>
      <c r="N1007" s="967"/>
      <c r="O1007" s="1007"/>
      <c r="P1007" s="1007"/>
      <c r="Q1007" s="1008"/>
    </row>
    <row r="1008" spans="1:17" hidden="1">
      <c r="A1008" s="966"/>
      <c r="B1008" s="967"/>
      <c r="C1008" s="967">
        <v>963</v>
      </c>
      <c r="D1008" s="967"/>
      <c r="E1008" s="968"/>
      <c r="F1008" s="968"/>
      <c r="G1008" s="968"/>
      <c r="H1008" s="968"/>
      <c r="I1008" s="968"/>
      <c r="J1008" s="968"/>
      <c r="K1008" s="967"/>
      <c r="L1008" s="967"/>
      <c r="M1008" s="967"/>
      <c r="N1008" s="967"/>
      <c r="O1008" s="1007"/>
      <c r="P1008" s="1007"/>
      <c r="Q1008" s="1008"/>
    </row>
    <row r="1009" spans="1:17" hidden="1">
      <c r="A1009" s="966"/>
      <c r="B1009" s="967"/>
      <c r="C1009" s="967">
        <v>964</v>
      </c>
      <c r="D1009" s="967"/>
      <c r="E1009" s="968"/>
      <c r="F1009" s="968"/>
      <c r="G1009" s="968"/>
      <c r="H1009" s="968"/>
      <c r="I1009" s="968"/>
      <c r="J1009" s="968"/>
      <c r="K1009" s="967"/>
      <c r="L1009" s="967"/>
      <c r="M1009" s="967"/>
      <c r="N1009" s="967"/>
      <c r="O1009" s="1007"/>
      <c r="P1009" s="1007"/>
      <c r="Q1009" s="1008"/>
    </row>
    <row r="1010" spans="1:17" hidden="1">
      <c r="A1010" s="966"/>
      <c r="B1010" s="967"/>
      <c r="C1010" s="967">
        <v>965</v>
      </c>
      <c r="D1010" s="967"/>
      <c r="E1010" s="968"/>
      <c r="F1010" s="968"/>
      <c r="G1010" s="968"/>
      <c r="H1010" s="968"/>
      <c r="I1010" s="968"/>
      <c r="J1010" s="968"/>
      <c r="K1010" s="967"/>
      <c r="L1010" s="967"/>
      <c r="M1010" s="967"/>
      <c r="N1010" s="967"/>
      <c r="O1010" s="1007"/>
      <c r="P1010" s="1007"/>
      <c r="Q1010" s="1008"/>
    </row>
    <row r="1011" spans="1:17" hidden="1">
      <c r="A1011" s="966"/>
      <c r="B1011" s="967"/>
      <c r="C1011" s="967">
        <v>966</v>
      </c>
      <c r="D1011" s="967"/>
      <c r="E1011" s="968"/>
      <c r="F1011" s="968"/>
      <c r="G1011" s="968"/>
      <c r="H1011" s="968"/>
      <c r="I1011" s="968"/>
      <c r="J1011" s="968"/>
      <c r="K1011" s="967"/>
      <c r="L1011" s="967"/>
      <c r="M1011" s="967"/>
      <c r="N1011" s="967"/>
      <c r="O1011" s="1007"/>
      <c r="P1011" s="1007"/>
      <c r="Q1011" s="1008"/>
    </row>
    <row r="1012" spans="1:17" hidden="1">
      <c r="A1012" s="966"/>
      <c r="B1012" s="967"/>
      <c r="C1012" s="967">
        <v>967</v>
      </c>
      <c r="D1012" s="967"/>
      <c r="E1012" s="968"/>
      <c r="F1012" s="968"/>
      <c r="G1012" s="968"/>
      <c r="H1012" s="968"/>
      <c r="I1012" s="968"/>
      <c r="J1012" s="968"/>
      <c r="K1012" s="967"/>
      <c r="L1012" s="967"/>
      <c r="M1012" s="967"/>
      <c r="N1012" s="967"/>
      <c r="O1012" s="1007"/>
      <c r="P1012" s="1007"/>
      <c r="Q1012" s="1008"/>
    </row>
    <row r="1013" spans="1:17" hidden="1">
      <c r="A1013" s="966"/>
      <c r="B1013" s="967"/>
      <c r="C1013" s="967">
        <v>968</v>
      </c>
      <c r="D1013" s="967"/>
      <c r="E1013" s="968"/>
      <c r="F1013" s="968"/>
      <c r="G1013" s="968"/>
      <c r="H1013" s="968"/>
      <c r="I1013" s="968"/>
      <c r="J1013" s="968"/>
      <c r="K1013" s="967"/>
      <c r="L1013" s="967"/>
      <c r="M1013" s="967"/>
      <c r="N1013" s="967"/>
      <c r="O1013" s="1007"/>
      <c r="P1013" s="1007"/>
      <c r="Q1013" s="1008"/>
    </row>
    <row r="1014" spans="1:17" hidden="1">
      <c r="A1014" s="966"/>
      <c r="B1014" s="967"/>
      <c r="C1014" s="967">
        <v>969</v>
      </c>
      <c r="D1014" s="967"/>
      <c r="E1014" s="968"/>
      <c r="F1014" s="968"/>
      <c r="G1014" s="968"/>
      <c r="H1014" s="968"/>
      <c r="I1014" s="968"/>
      <c r="J1014" s="968"/>
      <c r="K1014" s="967"/>
      <c r="L1014" s="967"/>
      <c r="M1014" s="967"/>
      <c r="N1014" s="967"/>
      <c r="O1014" s="1007"/>
      <c r="P1014" s="1007"/>
      <c r="Q1014" s="1008"/>
    </row>
    <row r="1015" spans="1:17" hidden="1">
      <c r="A1015" s="966"/>
      <c r="B1015" s="967"/>
      <c r="C1015" s="967">
        <v>970</v>
      </c>
      <c r="D1015" s="967"/>
      <c r="E1015" s="968"/>
      <c r="F1015" s="968"/>
      <c r="G1015" s="968"/>
      <c r="H1015" s="968"/>
      <c r="I1015" s="968"/>
      <c r="J1015" s="968"/>
      <c r="K1015" s="967"/>
      <c r="L1015" s="967"/>
      <c r="M1015" s="967"/>
      <c r="N1015" s="967"/>
      <c r="O1015" s="1007"/>
      <c r="P1015" s="1007"/>
      <c r="Q1015" s="1008"/>
    </row>
    <row r="1016" spans="1:17" hidden="1">
      <c r="A1016" s="966"/>
      <c r="B1016" s="967"/>
      <c r="C1016" s="967">
        <v>971</v>
      </c>
      <c r="D1016" s="967"/>
      <c r="E1016" s="968"/>
      <c r="F1016" s="968"/>
      <c r="G1016" s="968"/>
      <c r="H1016" s="968"/>
      <c r="I1016" s="968"/>
      <c r="J1016" s="968"/>
      <c r="K1016" s="967"/>
      <c r="L1016" s="967"/>
      <c r="M1016" s="967"/>
      <c r="N1016" s="967"/>
      <c r="O1016" s="1007"/>
      <c r="P1016" s="1007"/>
      <c r="Q1016" s="1008"/>
    </row>
    <row r="1017" spans="1:17" hidden="1">
      <c r="A1017" s="966"/>
      <c r="B1017" s="967"/>
      <c r="C1017" s="967">
        <v>972</v>
      </c>
      <c r="D1017" s="967"/>
      <c r="E1017" s="968"/>
      <c r="F1017" s="968"/>
      <c r="G1017" s="968"/>
      <c r="H1017" s="968"/>
      <c r="I1017" s="968"/>
      <c r="J1017" s="968"/>
      <c r="K1017" s="967"/>
      <c r="L1017" s="967"/>
      <c r="M1017" s="967"/>
      <c r="N1017" s="967"/>
      <c r="O1017" s="1007"/>
      <c r="P1017" s="1007"/>
      <c r="Q1017" s="1008"/>
    </row>
    <row r="1018" spans="1:17" hidden="1">
      <c r="A1018" s="966"/>
      <c r="B1018" s="967"/>
      <c r="C1018" s="967">
        <v>973</v>
      </c>
      <c r="D1018" s="967"/>
      <c r="E1018" s="968"/>
      <c r="F1018" s="968"/>
      <c r="G1018" s="968"/>
      <c r="H1018" s="968"/>
      <c r="I1018" s="968"/>
      <c r="J1018" s="968"/>
      <c r="K1018" s="967"/>
      <c r="L1018" s="967"/>
      <c r="M1018" s="967"/>
      <c r="N1018" s="967"/>
      <c r="O1018" s="1007"/>
      <c r="P1018" s="1007"/>
      <c r="Q1018" s="1008"/>
    </row>
    <row r="1019" spans="1:17" hidden="1">
      <c r="A1019" s="966"/>
      <c r="B1019" s="967"/>
      <c r="C1019" s="967">
        <v>974</v>
      </c>
      <c r="D1019" s="967"/>
      <c r="E1019" s="968"/>
      <c r="F1019" s="968"/>
      <c r="G1019" s="968"/>
      <c r="H1019" s="968"/>
      <c r="I1019" s="968"/>
      <c r="J1019" s="968"/>
      <c r="K1019" s="967"/>
      <c r="L1019" s="967"/>
      <c r="M1019" s="967"/>
      <c r="N1019" s="967"/>
      <c r="O1019" s="1007"/>
      <c r="P1019" s="1007"/>
      <c r="Q1019" s="1008"/>
    </row>
    <row r="1020" spans="1:17" hidden="1">
      <c r="A1020" s="966"/>
      <c r="B1020" s="967"/>
      <c r="C1020" s="967">
        <v>975</v>
      </c>
      <c r="D1020" s="967"/>
      <c r="E1020" s="968"/>
      <c r="F1020" s="968"/>
      <c r="G1020" s="968"/>
      <c r="H1020" s="968"/>
      <c r="I1020" s="968"/>
      <c r="J1020" s="968"/>
      <c r="K1020" s="967"/>
      <c r="L1020" s="967"/>
      <c r="M1020" s="967"/>
      <c r="N1020" s="967"/>
      <c r="O1020" s="1007"/>
      <c r="P1020" s="1007"/>
      <c r="Q1020" s="1008"/>
    </row>
    <row r="1021" spans="1:17" hidden="1">
      <c r="A1021" s="966"/>
      <c r="B1021" s="967"/>
      <c r="C1021" s="967">
        <v>976</v>
      </c>
      <c r="D1021" s="967"/>
      <c r="E1021" s="968"/>
      <c r="F1021" s="968"/>
      <c r="G1021" s="968"/>
      <c r="H1021" s="968"/>
      <c r="I1021" s="968"/>
      <c r="J1021" s="968"/>
      <c r="K1021" s="967"/>
      <c r="L1021" s="967"/>
      <c r="M1021" s="967"/>
      <c r="N1021" s="967"/>
      <c r="O1021" s="1007"/>
      <c r="P1021" s="1007"/>
      <c r="Q1021" s="1008"/>
    </row>
    <row r="1022" spans="1:17" hidden="1">
      <c r="A1022" s="966"/>
      <c r="B1022" s="967"/>
      <c r="C1022" s="967">
        <v>977</v>
      </c>
      <c r="D1022" s="967"/>
      <c r="E1022" s="968"/>
      <c r="F1022" s="968"/>
      <c r="G1022" s="968"/>
      <c r="H1022" s="968"/>
      <c r="I1022" s="968"/>
      <c r="J1022" s="968"/>
      <c r="K1022" s="967"/>
      <c r="L1022" s="967"/>
      <c r="M1022" s="967"/>
      <c r="N1022" s="967"/>
      <c r="O1022" s="1007"/>
      <c r="P1022" s="1007"/>
      <c r="Q1022" s="1008"/>
    </row>
    <row r="1023" spans="1:17" hidden="1">
      <c r="A1023" s="966"/>
      <c r="B1023" s="967"/>
      <c r="C1023" s="967">
        <v>978</v>
      </c>
      <c r="D1023" s="967"/>
      <c r="E1023" s="968"/>
      <c r="F1023" s="968"/>
      <c r="G1023" s="968"/>
      <c r="H1023" s="968"/>
      <c r="I1023" s="968"/>
      <c r="J1023" s="968"/>
      <c r="K1023" s="967"/>
      <c r="L1023" s="967"/>
      <c r="M1023" s="967"/>
      <c r="N1023" s="967"/>
      <c r="O1023" s="1007"/>
      <c r="P1023" s="1007"/>
      <c r="Q1023" s="1008"/>
    </row>
    <row r="1024" spans="1:17" hidden="1">
      <c r="A1024" s="966"/>
      <c r="B1024" s="967"/>
      <c r="C1024" s="967">
        <v>979</v>
      </c>
      <c r="D1024" s="967"/>
      <c r="E1024" s="968"/>
      <c r="F1024" s="968"/>
      <c r="G1024" s="968"/>
      <c r="H1024" s="968"/>
      <c r="I1024" s="968"/>
      <c r="J1024" s="968"/>
      <c r="K1024" s="967"/>
      <c r="L1024" s="967"/>
      <c r="M1024" s="967"/>
      <c r="N1024" s="967"/>
      <c r="O1024" s="1007"/>
      <c r="P1024" s="1007"/>
      <c r="Q1024" s="1008"/>
    </row>
    <row r="1025" spans="1:17" hidden="1">
      <c r="A1025" s="966"/>
      <c r="B1025" s="967"/>
      <c r="C1025" s="967">
        <v>980</v>
      </c>
      <c r="D1025" s="967"/>
      <c r="E1025" s="968"/>
      <c r="F1025" s="968"/>
      <c r="G1025" s="968"/>
      <c r="H1025" s="968"/>
      <c r="I1025" s="968"/>
      <c r="J1025" s="968"/>
      <c r="K1025" s="967"/>
      <c r="L1025" s="967"/>
      <c r="M1025" s="967"/>
      <c r="N1025" s="967"/>
      <c r="O1025" s="1007"/>
      <c r="P1025" s="1007"/>
      <c r="Q1025" s="1008"/>
    </row>
    <row r="1026" spans="1:17" hidden="1">
      <c r="A1026" s="966"/>
      <c r="B1026" s="967"/>
      <c r="C1026" s="967">
        <v>981</v>
      </c>
      <c r="D1026" s="967"/>
      <c r="E1026" s="968"/>
      <c r="F1026" s="968"/>
      <c r="G1026" s="968"/>
      <c r="H1026" s="968"/>
      <c r="I1026" s="968"/>
      <c r="J1026" s="968"/>
      <c r="K1026" s="967"/>
      <c r="L1026" s="967"/>
      <c r="M1026" s="967"/>
      <c r="N1026" s="967"/>
      <c r="O1026" s="1007"/>
      <c r="P1026" s="1007"/>
      <c r="Q1026" s="1008"/>
    </row>
    <row r="1027" spans="1:17" hidden="1">
      <c r="A1027" s="966"/>
      <c r="B1027" s="967"/>
      <c r="C1027" s="967">
        <v>982</v>
      </c>
      <c r="D1027" s="967"/>
      <c r="E1027" s="968"/>
      <c r="F1027" s="968"/>
      <c r="G1027" s="968"/>
      <c r="H1027" s="968"/>
      <c r="I1027" s="968"/>
      <c r="J1027" s="968"/>
      <c r="K1027" s="967"/>
      <c r="L1027" s="967"/>
      <c r="M1027" s="967"/>
      <c r="N1027" s="967"/>
      <c r="O1027" s="1007"/>
      <c r="P1027" s="1007"/>
      <c r="Q1027" s="1008"/>
    </row>
    <row r="1028" spans="1:17" hidden="1">
      <c r="A1028" s="966"/>
      <c r="B1028" s="967"/>
      <c r="C1028" s="967">
        <v>983</v>
      </c>
      <c r="D1028" s="967"/>
      <c r="E1028" s="968"/>
      <c r="F1028" s="968"/>
      <c r="G1028" s="968"/>
      <c r="H1028" s="968"/>
      <c r="I1028" s="968"/>
      <c r="J1028" s="968"/>
      <c r="K1028" s="967"/>
      <c r="L1028" s="967"/>
      <c r="M1028" s="967"/>
      <c r="N1028" s="967"/>
      <c r="O1028" s="1007"/>
      <c r="P1028" s="1007"/>
      <c r="Q1028" s="1008"/>
    </row>
    <row r="1029" spans="1:17" hidden="1">
      <c r="A1029" s="966"/>
      <c r="B1029" s="967"/>
      <c r="C1029" s="967">
        <v>984</v>
      </c>
      <c r="D1029" s="967"/>
      <c r="E1029" s="968"/>
      <c r="F1029" s="968"/>
      <c r="G1029" s="968"/>
      <c r="H1029" s="968"/>
      <c r="I1029" s="968"/>
      <c r="J1029" s="968"/>
      <c r="K1029" s="967"/>
      <c r="L1029" s="967"/>
      <c r="M1029" s="967"/>
      <c r="N1029" s="967"/>
      <c r="O1029" s="1007"/>
      <c r="P1029" s="1007"/>
      <c r="Q1029" s="1008"/>
    </row>
    <row r="1030" spans="1:17" hidden="1">
      <c r="A1030" s="966"/>
      <c r="B1030" s="967"/>
      <c r="C1030" s="967">
        <v>985</v>
      </c>
      <c r="D1030" s="967"/>
      <c r="E1030" s="968"/>
      <c r="F1030" s="968"/>
      <c r="G1030" s="968"/>
      <c r="H1030" s="968"/>
      <c r="I1030" s="968"/>
      <c r="J1030" s="968"/>
      <c r="K1030" s="967"/>
      <c r="L1030" s="967"/>
      <c r="M1030" s="967"/>
      <c r="N1030" s="967"/>
      <c r="O1030" s="1007"/>
      <c r="P1030" s="1007"/>
      <c r="Q1030" s="1008"/>
    </row>
    <row r="1031" spans="1:17" hidden="1">
      <c r="A1031" s="966"/>
      <c r="B1031" s="967"/>
      <c r="C1031" s="967">
        <v>986</v>
      </c>
      <c r="D1031" s="967"/>
      <c r="E1031" s="968"/>
      <c r="F1031" s="968"/>
      <c r="G1031" s="968"/>
      <c r="H1031" s="968"/>
      <c r="I1031" s="968"/>
      <c r="J1031" s="968"/>
      <c r="K1031" s="967"/>
      <c r="L1031" s="967"/>
      <c r="M1031" s="967"/>
      <c r="N1031" s="967"/>
      <c r="O1031" s="1007"/>
      <c r="P1031" s="1007"/>
      <c r="Q1031" s="1008"/>
    </row>
    <row r="1032" spans="1:17" hidden="1">
      <c r="A1032" s="966"/>
      <c r="B1032" s="967"/>
      <c r="C1032" s="967">
        <v>987</v>
      </c>
      <c r="D1032" s="967"/>
      <c r="E1032" s="968"/>
      <c r="F1032" s="968"/>
      <c r="G1032" s="968"/>
      <c r="H1032" s="968"/>
      <c r="I1032" s="968"/>
      <c r="J1032" s="968"/>
      <c r="K1032" s="967"/>
      <c r="L1032" s="967"/>
      <c r="M1032" s="967"/>
      <c r="N1032" s="967"/>
      <c r="O1032" s="1007"/>
      <c r="P1032" s="1007"/>
      <c r="Q1032" s="1008"/>
    </row>
    <row r="1033" spans="1:17" hidden="1">
      <c r="A1033" s="966"/>
      <c r="B1033" s="967"/>
      <c r="C1033" s="967">
        <v>988</v>
      </c>
      <c r="D1033" s="967"/>
      <c r="E1033" s="968"/>
      <c r="F1033" s="968"/>
      <c r="G1033" s="968"/>
      <c r="H1033" s="968"/>
      <c r="I1033" s="968"/>
      <c r="J1033" s="968"/>
      <c r="K1033" s="967"/>
      <c r="L1033" s="967"/>
      <c r="M1033" s="967"/>
      <c r="N1033" s="967"/>
      <c r="O1033" s="1007"/>
      <c r="P1033" s="1007"/>
      <c r="Q1033" s="1008"/>
    </row>
    <row r="1034" spans="1:17" hidden="1">
      <c r="A1034" s="966"/>
      <c r="B1034" s="967"/>
      <c r="C1034" s="967">
        <v>989</v>
      </c>
      <c r="D1034" s="967"/>
      <c r="E1034" s="968"/>
      <c r="F1034" s="968"/>
      <c r="G1034" s="968"/>
      <c r="H1034" s="968"/>
      <c r="I1034" s="968"/>
      <c r="J1034" s="968"/>
      <c r="K1034" s="967"/>
      <c r="L1034" s="967"/>
      <c r="M1034" s="967"/>
      <c r="N1034" s="967"/>
      <c r="O1034" s="1007"/>
      <c r="P1034" s="1007"/>
      <c r="Q1034" s="1008"/>
    </row>
    <row r="1035" spans="1:17" hidden="1">
      <c r="A1035" s="966"/>
      <c r="B1035" s="967"/>
      <c r="C1035" s="967">
        <v>990</v>
      </c>
      <c r="D1035" s="967"/>
      <c r="E1035" s="968"/>
      <c r="F1035" s="968"/>
      <c r="G1035" s="968"/>
      <c r="H1035" s="968"/>
      <c r="I1035" s="968"/>
      <c r="J1035" s="968"/>
      <c r="K1035" s="967"/>
      <c r="L1035" s="967"/>
      <c r="M1035" s="967"/>
      <c r="N1035" s="967"/>
      <c r="O1035" s="1007"/>
      <c r="P1035" s="1007"/>
      <c r="Q1035" s="1008"/>
    </row>
    <row r="1036" spans="1:17" hidden="1">
      <c r="A1036" s="966"/>
      <c r="B1036" s="967"/>
      <c r="C1036" s="967">
        <v>991</v>
      </c>
      <c r="D1036" s="967"/>
      <c r="E1036" s="968"/>
      <c r="F1036" s="968"/>
      <c r="G1036" s="968"/>
      <c r="H1036" s="968"/>
      <c r="I1036" s="968"/>
      <c r="J1036" s="968"/>
      <c r="K1036" s="967"/>
      <c r="L1036" s="967"/>
      <c r="M1036" s="967"/>
      <c r="N1036" s="967"/>
      <c r="O1036" s="1007"/>
      <c r="P1036" s="1007"/>
      <c r="Q1036" s="1008"/>
    </row>
    <row r="1037" spans="1:17" hidden="1">
      <c r="A1037" s="966"/>
      <c r="B1037" s="967"/>
      <c r="C1037" s="967">
        <v>992</v>
      </c>
      <c r="D1037" s="967"/>
      <c r="E1037" s="968"/>
      <c r="F1037" s="968"/>
      <c r="G1037" s="968"/>
      <c r="H1037" s="968"/>
      <c r="I1037" s="968"/>
      <c r="J1037" s="968"/>
      <c r="K1037" s="967"/>
      <c r="L1037" s="967"/>
      <c r="M1037" s="967"/>
      <c r="N1037" s="967"/>
      <c r="O1037" s="1007"/>
      <c r="P1037" s="1007"/>
      <c r="Q1037" s="1008"/>
    </row>
    <row r="1038" spans="1:17" hidden="1">
      <c r="A1038" s="966"/>
      <c r="B1038" s="967"/>
      <c r="C1038" s="967">
        <v>993</v>
      </c>
      <c r="D1038" s="967"/>
      <c r="E1038" s="968"/>
      <c r="F1038" s="968"/>
      <c r="G1038" s="968"/>
      <c r="H1038" s="968"/>
      <c r="I1038" s="968"/>
      <c r="J1038" s="968"/>
      <c r="K1038" s="967"/>
      <c r="L1038" s="967"/>
      <c r="M1038" s="967"/>
      <c r="N1038" s="967"/>
      <c r="O1038" s="1007"/>
      <c r="P1038" s="1007"/>
      <c r="Q1038" s="1008"/>
    </row>
    <row r="1039" spans="1:17" hidden="1">
      <c r="A1039" s="966"/>
      <c r="B1039" s="967"/>
      <c r="C1039" s="967">
        <v>994</v>
      </c>
      <c r="D1039" s="967"/>
      <c r="E1039" s="968"/>
      <c r="F1039" s="968"/>
      <c r="G1039" s="968"/>
      <c r="H1039" s="968"/>
      <c r="I1039" s="968"/>
      <c r="J1039" s="968"/>
      <c r="K1039" s="967"/>
      <c r="L1039" s="967"/>
      <c r="M1039" s="967"/>
      <c r="N1039" s="967"/>
      <c r="O1039" s="1007"/>
      <c r="P1039" s="1007"/>
      <c r="Q1039" s="1008"/>
    </row>
    <row r="1040" spans="1:17" hidden="1">
      <c r="A1040" s="966"/>
      <c r="B1040" s="967"/>
      <c r="C1040" s="967">
        <v>995</v>
      </c>
      <c r="D1040" s="967"/>
      <c r="E1040" s="968"/>
      <c r="F1040" s="968"/>
      <c r="G1040" s="968"/>
      <c r="H1040" s="968"/>
      <c r="I1040" s="968"/>
      <c r="J1040" s="968"/>
      <c r="K1040" s="967"/>
      <c r="L1040" s="967"/>
      <c r="M1040" s="967"/>
      <c r="N1040" s="967"/>
      <c r="O1040" s="1007"/>
      <c r="P1040" s="1007"/>
      <c r="Q1040" s="1008"/>
    </row>
    <row r="1041" spans="1:17" ht="17" hidden="1" thickBot="1">
      <c r="A1041" s="1024"/>
      <c r="B1041" s="964"/>
      <c r="C1041" s="964"/>
      <c r="D1041" s="964"/>
      <c r="E1041" s="1025"/>
      <c r="F1041" s="1025"/>
      <c r="G1041" s="1025"/>
      <c r="H1041" s="1025"/>
      <c r="I1041" s="1025"/>
      <c r="J1041" s="1025"/>
      <c r="K1041" s="964"/>
      <c r="L1041" s="964"/>
      <c r="M1041" s="964"/>
      <c r="N1041" s="964"/>
      <c r="O1041" s="1026"/>
      <c r="P1041" s="1026"/>
      <c r="Q1041" s="1027"/>
    </row>
  </sheetData>
  <dataConsolidate/>
  <mergeCells count="31">
    <mergeCell ref="O10:Q10"/>
    <mergeCell ref="A1:Q1"/>
    <mergeCell ref="C3:P4"/>
    <mergeCell ref="C5:P5"/>
    <mergeCell ref="A6:Q7"/>
    <mergeCell ref="O9:Q9"/>
    <mergeCell ref="O22:Q22"/>
    <mergeCell ref="O14:Q14"/>
    <mergeCell ref="O15:Q15"/>
    <mergeCell ref="O16:Q16"/>
    <mergeCell ref="O11:Q11"/>
    <mergeCell ref="O20:Q20"/>
    <mergeCell ref="O21:Q21"/>
    <mergeCell ref="O12:Q12"/>
    <mergeCell ref="O17:Q17"/>
    <mergeCell ref="O18:Q18"/>
    <mergeCell ref="O13:Q13"/>
    <mergeCell ref="O19:Q19"/>
    <mergeCell ref="E98:G98"/>
    <mergeCell ref="O23:Q23"/>
    <mergeCell ref="A26:Q26"/>
    <mergeCell ref="A28:D28"/>
    <mergeCell ref="A30:A31"/>
    <mergeCell ref="H32:K32"/>
    <mergeCell ref="M32:P32"/>
    <mergeCell ref="I38:M38"/>
    <mergeCell ref="A38:G38"/>
    <mergeCell ref="C44:G44"/>
    <mergeCell ref="A41:G41"/>
    <mergeCell ref="A35:Q36"/>
    <mergeCell ref="M31:P31"/>
  </mergeCells>
  <phoneticPr fontId="51" type="noConversion"/>
  <dataValidations disablePrompts="1" count="5">
    <dataValidation type="list" allowBlank="1" showInputMessage="1" showErrorMessage="1" sqref="C5:P5" xr:uid="{00000000-0002-0000-2300-000000000000}">
      <formula1>$K$45:$K$47</formula1>
    </dataValidation>
    <dataValidation type="list" allowBlank="1" showInputMessage="1" showErrorMessage="1" sqref="I10:I23" xr:uid="{00000000-0002-0000-2300-000001000000}">
      <formula1>$C$46:$C$1040</formula1>
    </dataValidation>
    <dataValidation type="list" allowBlank="1" showInputMessage="1" showErrorMessage="1" sqref="G10:G23" xr:uid="{00000000-0002-0000-2300-000002000000}">
      <formula1>$G$45:$G$60</formula1>
    </dataValidation>
    <dataValidation type="list" allowBlank="1" showInputMessage="1" showErrorMessage="1" sqref="E10:F23" xr:uid="{00000000-0002-0000-2300-000003000000}">
      <formula1>$E$45:$E$95</formula1>
    </dataValidation>
    <dataValidation type="list" allowBlank="1" showInputMessage="1" showErrorMessage="1" sqref="H10:H23 J10:J23" xr:uid="{00000000-0002-0000-2300-000004000000}">
      <formula1>#REF!</formula1>
    </dataValidation>
  </dataValidations>
  <pageMargins left="0.7" right="0.7" top="1.25" bottom="0.75" header="0.3" footer="0.3"/>
  <pageSetup scale="58" fitToHeight="12" orientation="landscape" r:id="rId1"/>
  <headerFooter alignWithMargins="0">
    <oddHeader>&amp;C&amp;G</oddHeader>
    <oddFooter>&amp;CPage &amp;P of &amp;N</oddFooter>
  </headerFooter>
  <rowBreaks count="1" manualBreakCount="1">
    <brk id="24" max="20"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1745" r:id="rId5" name="Check Box 1">
              <controlPr defaultSize="0" autoFill="0" autoLine="0" autoPict="0">
                <anchor moveWithCells="1">
                  <from>
                    <xdr:col>5</xdr:col>
                    <xdr:colOff>63500</xdr:colOff>
                    <xdr:row>24</xdr:row>
                    <xdr:rowOff>38100</xdr:rowOff>
                  </from>
                  <to>
                    <xdr:col>6</xdr:col>
                    <xdr:colOff>571500</xdr:colOff>
                    <xdr:row>27</xdr:row>
                    <xdr:rowOff>127000</xdr:rowOff>
                  </to>
                </anchor>
              </controlPr>
            </control>
          </mc:Choice>
        </mc:AlternateContent>
        <mc:AlternateContent xmlns:mc="http://schemas.openxmlformats.org/markup-compatibility/2006">
          <mc:Choice Requires="x14">
            <control shapeId="31746" r:id="rId6" name="Check Box 2">
              <controlPr defaultSize="0" autoFill="0" autoLine="0" autoPict="0">
                <anchor moveWithCells="1">
                  <from>
                    <xdr:col>6</xdr:col>
                    <xdr:colOff>876300</xdr:colOff>
                    <xdr:row>24</xdr:row>
                    <xdr:rowOff>25400</xdr:rowOff>
                  </from>
                  <to>
                    <xdr:col>6</xdr:col>
                    <xdr:colOff>1397000</xdr:colOff>
                    <xdr:row>27</xdr:row>
                    <xdr:rowOff>139700</xdr:rowOff>
                  </to>
                </anchor>
              </controlPr>
            </control>
          </mc:Choice>
        </mc:AlternateContent>
      </controls>
    </mc:Choice>
  </mc:AlternateConten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0"/>
  <dimension ref="A1:Q1032"/>
  <sheetViews>
    <sheetView zoomScale="85" zoomScaleNormal="85" workbookViewId="0">
      <selection activeCell="R20" sqref="R20:S20"/>
    </sheetView>
  </sheetViews>
  <sheetFormatPr baseColWidth="10" defaultColWidth="9.1640625" defaultRowHeight="16"/>
  <cols>
    <col min="1" max="1" width="35" style="953" customWidth="1"/>
    <col min="2" max="2" width="0.6640625" style="953" customWidth="1"/>
    <col min="3" max="3" width="26.5" style="953" customWidth="1"/>
    <col min="4" max="4" width="0.6640625" style="953" customWidth="1"/>
    <col min="5" max="5" width="20" style="1040" customWidth="1"/>
    <col min="6" max="6" width="0.83203125" style="1040" customWidth="1"/>
    <col min="7" max="7" width="19.5" style="1040" customWidth="1"/>
    <col min="8" max="8" width="0.6640625" style="1040" customWidth="1"/>
    <col min="9" max="9" width="11.5" style="1040" customWidth="1"/>
    <col min="10" max="10" width="1" style="1040" customWidth="1"/>
    <col min="11" max="11" width="12" style="953" customWidth="1"/>
    <col min="12" max="12" width="0.6640625" style="953" customWidth="1"/>
    <col min="13" max="13" width="34.5" style="953" customWidth="1"/>
    <col min="14" max="14" width="0.83203125" style="953" customWidth="1"/>
    <col min="15" max="16" width="3.83203125" style="1041" customWidth="1"/>
    <col min="17" max="17" width="17.33203125" style="1041" customWidth="1"/>
    <col min="18" max="18" width="17.6640625" style="953" bestFit="1" customWidth="1"/>
    <col min="19" max="19" width="30.33203125" style="953" bestFit="1" customWidth="1"/>
    <col min="20" max="20" width="21.83203125" style="953" bestFit="1" customWidth="1"/>
    <col min="21" max="16384" width="9.1640625" style="953"/>
  </cols>
  <sheetData>
    <row r="1" spans="1:17" ht="42" customHeight="1" thickBot="1">
      <c r="A1" s="1708" t="s">
        <v>547</v>
      </c>
      <c r="B1" s="1709"/>
      <c r="C1" s="1710"/>
      <c r="D1" s="1710"/>
      <c r="E1" s="1710"/>
      <c r="F1" s="1710"/>
      <c r="G1" s="1710"/>
      <c r="H1" s="1710"/>
      <c r="I1" s="1710"/>
      <c r="J1" s="1710"/>
      <c r="K1" s="1710"/>
      <c r="L1" s="1710"/>
      <c r="M1" s="1710"/>
      <c r="N1" s="1710"/>
      <c r="O1" s="1710"/>
      <c r="P1" s="1710"/>
      <c r="Q1" s="1711"/>
    </row>
    <row r="2" spans="1:17" ht="12.75" customHeight="1">
      <c r="A2" s="1042"/>
      <c r="B2" s="1043"/>
      <c r="C2" s="1044"/>
      <c r="D2" s="1044"/>
      <c r="E2" s="1044"/>
      <c r="F2" s="1044"/>
      <c r="G2" s="1044"/>
      <c r="H2" s="1044"/>
      <c r="I2" s="1044"/>
      <c r="J2" s="1044"/>
      <c r="K2" s="1044"/>
      <c r="L2" s="1044"/>
      <c r="M2" s="1044"/>
      <c r="N2" s="1044"/>
      <c r="O2" s="1044"/>
      <c r="P2" s="1044"/>
      <c r="Q2" s="1045"/>
    </row>
    <row r="3" spans="1:17" ht="42" customHeight="1">
      <c r="A3" s="1046"/>
      <c r="B3" s="1047"/>
      <c r="C3" s="1744"/>
      <c r="D3" s="1744"/>
      <c r="E3" s="1744"/>
      <c r="F3" s="1744"/>
      <c r="G3" s="1744"/>
      <c r="H3" s="1744"/>
      <c r="I3" s="1744"/>
      <c r="J3" s="1744"/>
      <c r="K3" s="1744"/>
      <c r="L3" s="1744"/>
      <c r="M3" s="1744"/>
      <c r="N3" s="1048"/>
      <c r="O3" s="1048"/>
      <c r="P3" s="1048"/>
      <c r="Q3" s="1049"/>
    </row>
    <row r="4" spans="1:17" ht="16.5" customHeight="1">
      <c r="A4" s="1046"/>
      <c r="B4" s="1047"/>
      <c r="C4" s="1745" t="s">
        <v>609</v>
      </c>
      <c r="D4" s="1745"/>
      <c r="E4" s="1745"/>
      <c r="F4" s="1745"/>
      <c r="G4" s="1745"/>
      <c r="H4" s="1745"/>
      <c r="I4" s="1745"/>
      <c r="J4" s="1745"/>
      <c r="K4" s="1745"/>
      <c r="L4" s="1745"/>
      <c r="M4" s="1745"/>
      <c r="N4" s="1048"/>
      <c r="O4" s="1048"/>
      <c r="P4" s="1048"/>
      <c r="Q4" s="1049"/>
    </row>
    <row r="5" spans="1:17" ht="17" thickBot="1">
      <c r="A5" s="1050"/>
      <c r="B5" s="1051"/>
      <c r="C5" s="1051"/>
      <c r="D5" s="1051"/>
      <c r="E5" s="1051"/>
      <c r="F5" s="1051"/>
      <c r="G5" s="1051"/>
      <c r="H5" s="1051"/>
      <c r="I5" s="1051"/>
      <c r="J5" s="1051"/>
      <c r="K5" s="1051"/>
      <c r="L5" s="1051"/>
      <c r="M5" s="1051"/>
      <c r="N5" s="1051"/>
      <c r="O5" s="1051"/>
      <c r="P5" s="1051"/>
      <c r="Q5" s="1052"/>
    </row>
    <row r="6" spans="1:17" ht="39" customHeight="1">
      <c r="A6" s="1716" t="s">
        <v>1763</v>
      </c>
      <c r="B6" s="1717"/>
      <c r="C6" s="1718"/>
      <c r="D6" s="1718"/>
      <c r="E6" s="1718"/>
      <c r="F6" s="1718"/>
      <c r="G6" s="1718"/>
      <c r="H6" s="1718"/>
      <c r="I6" s="1718"/>
      <c r="J6" s="1718"/>
      <c r="K6" s="1718"/>
      <c r="L6" s="1718"/>
      <c r="M6" s="1718"/>
      <c r="N6" s="1718"/>
      <c r="O6" s="1718"/>
      <c r="P6" s="1718"/>
      <c r="Q6" s="1719"/>
    </row>
    <row r="7" spans="1:17" ht="17" thickBot="1">
      <c r="A7" s="1720"/>
      <c r="B7" s="1721"/>
      <c r="C7" s="1721"/>
      <c r="D7" s="1721"/>
      <c r="E7" s="1721"/>
      <c r="F7" s="1721"/>
      <c r="G7" s="1721"/>
      <c r="H7" s="1721"/>
      <c r="I7" s="1721"/>
      <c r="J7" s="1721"/>
      <c r="K7" s="1721"/>
      <c r="L7" s="1721"/>
      <c r="M7" s="1721"/>
      <c r="N7" s="1721"/>
      <c r="O7" s="1721"/>
      <c r="P7" s="1721"/>
      <c r="Q7" s="1722"/>
    </row>
    <row r="8" spans="1:17" ht="11.25" customHeight="1" thickBot="1">
      <c r="A8" s="966"/>
      <c r="B8" s="967"/>
      <c r="C8" s="967"/>
      <c r="D8" s="967"/>
      <c r="E8" s="968"/>
      <c r="F8" s="968"/>
      <c r="G8" s="968"/>
      <c r="H8" s="968"/>
      <c r="I8" s="968"/>
      <c r="J8" s="968"/>
      <c r="K8" s="967"/>
      <c r="L8" s="967"/>
      <c r="M8" s="967"/>
      <c r="N8" s="967"/>
      <c r="O8" s="967"/>
      <c r="P8" s="967"/>
      <c r="Q8" s="969"/>
    </row>
    <row r="9" spans="1:17" s="975" customFormat="1" ht="45.75" customHeight="1" thickTop="1">
      <c r="A9" s="970" t="s">
        <v>1331</v>
      </c>
      <c r="B9" s="971"/>
      <c r="C9" s="972" t="s">
        <v>549</v>
      </c>
      <c r="D9" s="972"/>
      <c r="E9" s="973" t="s">
        <v>621</v>
      </c>
      <c r="F9" s="973"/>
      <c r="G9" s="973" t="s">
        <v>550</v>
      </c>
      <c r="H9" s="973"/>
      <c r="I9" s="973" t="s">
        <v>551</v>
      </c>
      <c r="J9" s="973"/>
      <c r="K9" s="974" t="s">
        <v>617</v>
      </c>
      <c r="L9" s="974"/>
      <c r="M9" s="974" t="s">
        <v>610</v>
      </c>
      <c r="N9" s="974"/>
      <c r="O9" s="1746" t="s">
        <v>611</v>
      </c>
      <c r="P9" s="1747"/>
      <c r="Q9" s="1748"/>
    </row>
    <row r="10" spans="1:17" s="983" customFormat="1" ht="40.5" customHeight="1">
      <c r="A10" s="976"/>
      <c r="B10" s="977"/>
      <c r="C10" s="978"/>
      <c r="D10" s="978"/>
      <c r="E10" s="979"/>
      <c r="F10" s="979"/>
      <c r="G10" s="979"/>
      <c r="H10" s="979"/>
      <c r="I10" s="979"/>
      <c r="J10" s="979"/>
      <c r="K10" s="980"/>
      <c r="L10" s="980"/>
      <c r="M10" s="981"/>
      <c r="N10" s="982"/>
      <c r="O10" s="1705"/>
      <c r="P10" s="1739"/>
      <c r="Q10" s="1740"/>
    </row>
    <row r="11" spans="1:17" ht="40.5" customHeight="1">
      <c r="A11" s="984"/>
      <c r="B11" s="985"/>
      <c r="C11" s="986"/>
      <c r="D11" s="986"/>
      <c r="E11" s="979"/>
      <c r="F11" s="979"/>
      <c r="G11" s="979"/>
      <c r="H11" s="979"/>
      <c r="I11" s="979"/>
      <c r="J11" s="979"/>
      <c r="K11" s="980"/>
      <c r="L11" s="980"/>
      <c r="M11" s="981"/>
      <c r="N11" s="982"/>
      <c r="O11" s="1705"/>
      <c r="P11" s="1739"/>
      <c r="Q11" s="1740"/>
    </row>
    <row r="12" spans="1:17" ht="40.5" customHeight="1" thickBot="1">
      <c r="A12" s="984"/>
      <c r="B12" s="985"/>
      <c r="C12" s="986"/>
      <c r="D12" s="986"/>
      <c r="E12" s="979"/>
      <c r="F12" s="979"/>
      <c r="G12" s="979"/>
      <c r="H12" s="979"/>
      <c r="I12" s="979"/>
      <c r="J12" s="979"/>
      <c r="K12" s="980"/>
      <c r="L12" s="980"/>
      <c r="M12" s="981"/>
      <c r="N12" s="982"/>
      <c r="O12" s="1741"/>
      <c r="P12" s="1742"/>
      <c r="Q12" s="1743"/>
    </row>
    <row r="13" spans="1:17" s="991" customFormat="1" ht="40.5" customHeight="1" thickBot="1">
      <c r="A13" s="999"/>
      <c r="B13" s="1000"/>
      <c r="C13" s="1000"/>
      <c r="D13" s="1000"/>
      <c r="E13" s="1000"/>
      <c r="F13" s="1000"/>
      <c r="G13" s="1001" t="s">
        <v>552</v>
      </c>
      <c r="H13" s="1000"/>
      <c r="I13" s="1002">
        <f>SUM(I10:I12)</f>
        <v>0</v>
      </c>
      <c r="J13" s="1000"/>
      <c r="K13" s="1000"/>
      <c r="L13" s="1000"/>
      <c r="M13" s="1000"/>
      <c r="N13" s="1003"/>
      <c r="O13" s="1003"/>
      <c r="P13" s="1004"/>
      <c r="Q13" s="1005"/>
    </row>
    <row r="14" spans="1:17">
      <c r="A14" s="966"/>
      <c r="B14" s="967"/>
      <c r="C14" s="967"/>
      <c r="D14" s="967"/>
      <c r="E14" s="1006"/>
      <c r="F14" s="1006"/>
      <c r="G14" s="1006"/>
      <c r="H14" s="1006"/>
      <c r="I14" s="1006"/>
      <c r="J14" s="1006"/>
      <c r="K14" s="967"/>
      <c r="L14" s="967"/>
      <c r="M14" s="967"/>
      <c r="N14" s="967"/>
      <c r="O14" s="1007"/>
      <c r="P14" s="1007"/>
      <c r="Q14" s="1008"/>
    </row>
    <row r="15" spans="1:17">
      <c r="A15" s="1688" t="s">
        <v>1761</v>
      </c>
      <c r="B15" s="1689"/>
      <c r="C15" s="1690"/>
      <c r="D15" s="1690"/>
      <c r="E15" s="1690"/>
      <c r="F15" s="1690"/>
      <c r="G15" s="1690"/>
      <c r="H15" s="1690"/>
      <c r="I15" s="1690"/>
      <c r="J15" s="1690"/>
      <c r="K15" s="1690"/>
      <c r="L15" s="1690"/>
      <c r="M15" s="1690"/>
      <c r="N15" s="1690"/>
      <c r="O15" s="1690"/>
      <c r="P15" s="1690"/>
      <c r="Q15" s="1691"/>
    </row>
    <row r="16" spans="1:17" ht="7.5" customHeight="1">
      <c r="A16" s="1009"/>
      <c r="B16" s="1010"/>
      <c r="C16" s="1011"/>
      <c r="D16" s="1011"/>
      <c r="E16" s="1011"/>
      <c r="F16" s="1011"/>
      <c r="G16" s="1011"/>
      <c r="H16" s="1011"/>
      <c r="I16" s="1011"/>
      <c r="J16" s="1011"/>
      <c r="K16" s="1011"/>
      <c r="L16" s="1011"/>
      <c r="M16" s="1011"/>
      <c r="N16" s="1011"/>
      <c r="O16" s="1011"/>
      <c r="P16" s="1011"/>
      <c r="Q16" s="1012"/>
    </row>
    <row r="17" spans="1:17">
      <c r="A17" s="1692" t="s">
        <v>553</v>
      </c>
      <c r="B17" s="1693"/>
      <c r="C17" s="1694"/>
      <c r="D17" s="1694"/>
      <c r="E17" s="968"/>
      <c r="F17" s="968"/>
      <c r="G17" s="968"/>
      <c r="H17" s="968"/>
      <c r="I17" s="968"/>
      <c r="J17" s="968"/>
      <c r="K17" s="967"/>
      <c r="L17" s="967"/>
      <c r="M17" s="967"/>
      <c r="N17" s="967"/>
      <c r="O17" s="1007"/>
      <c r="P17" s="1007"/>
      <c r="Q17" s="1008"/>
    </row>
    <row r="18" spans="1:17">
      <c r="A18" s="966"/>
      <c r="B18" s="967"/>
      <c r="C18" s="967"/>
      <c r="D18" s="967"/>
      <c r="E18" s="968"/>
      <c r="F18" s="968"/>
      <c r="G18" s="968"/>
      <c r="H18" s="968"/>
      <c r="I18" s="968"/>
      <c r="J18" s="968"/>
      <c r="K18" s="967"/>
      <c r="L18" s="967"/>
      <c r="M18" s="967"/>
      <c r="N18" s="967"/>
      <c r="O18" s="1007"/>
      <c r="P18" s="1007"/>
      <c r="Q18" s="1008"/>
    </row>
    <row r="19" spans="1:17">
      <c r="A19" s="1688"/>
      <c r="B19" s="1010"/>
      <c r="C19" s="967"/>
      <c r="D19" s="967"/>
      <c r="E19" s="968"/>
      <c r="F19" s="968"/>
      <c r="G19" s="1014"/>
      <c r="H19" s="968"/>
      <c r="I19" s="968"/>
      <c r="J19" s="968"/>
      <c r="K19" s="967"/>
      <c r="L19" s="967"/>
      <c r="M19" s="967"/>
      <c r="N19" s="967"/>
      <c r="O19" s="1007"/>
      <c r="P19" s="1007"/>
      <c r="Q19" s="1008"/>
    </row>
    <row r="20" spans="1:17">
      <c r="A20" s="1688"/>
      <c r="B20" s="1010"/>
      <c r="C20" s="967"/>
      <c r="D20" s="967"/>
      <c r="E20" s="1015"/>
      <c r="F20" s="1015"/>
      <c r="G20" s="1016"/>
      <c r="H20" s="968"/>
      <c r="I20" s="968"/>
      <c r="J20" s="968"/>
      <c r="K20" s="967"/>
      <c r="L20" s="967"/>
      <c r="M20" s="967"/>
      <c r="N20" s="967"/>
      <c r="O20" s="1007"/>
      <c r="P20" s="1007"/>
      <c r="Q20" s="1008"/>
    </row>
    <row r="21" spans="1:17" s="1023" customFormat="1">
      <c r="A21" s="1737" t="s">
        <v>1331</v>
      </c>
      <c r="B21" s="1738"/>
      <c r="C21" s="1738"/>
      <c r="D21" s="1018"/>
      <c r="E21" s="1020"/>
      <c r="F21" s="1018"/>
      <c r="G21" s="1695" t="s">
        <v>554</v>
      </c>
      <c r="H21" s="1738"/>
      <c r="I21" s="1738"/>
      <c r="J21" s="1738"/>
      <c r="K21" s="1738"/>
      <c r="L21" s="1021"/>
      <c r="M21" s="1021"/>
      <c r="N21" s="1021"/>
      <c r="O21" s="1021"/>
      <c r="P21" s="1021"/>
      <c r="Q21" s="1022"/>
    </row>
    <row r="22" spans="1:17" ht="17" thickBot="1">
      <c r="A22" s="1024"/>
      <c r="B22" s="964"/>
      <c r="C22" s="964"/>
      <c r="D22" s="964"/>
      <c r="E22" s="1025"/>
      <c r="F22" s="1025"/>
      <c r="G22" s="1025"/>
      <c r="H22" s="1025"/>
      <c r="I22" s="1025"/>
      <c r="J22" s="1025"/>
      <c r="K22" s="964"/>
      <c r="L22" s="964"/>
      <c r="M22" s="964"/>
      <c r="N22" s="964"/>
      <c r="O22" s="1026"/>
      <c r="P22" s="1026"/>
      <c r="Q22" s="1027"/>
    </row>
    <row r="23" spans="1:17" ht="17" thickBot="1">
      <c r="A23" s="966"/>
      <c r="B23" s="967"/>
      <c r="C23" s="967"/>
      <c r="D23" s="967"/>
      <c r="E23" s="968"/>
      <c r="F23" s="968"/>
      <c r="G23" s="968"/>
      <c r="H23" s="968"/>
      <c r="I23" s="968"/>
      <c r="J23" s="968"/>
      <c r="K23" s="967"/>
      <c r="L23" s="967"/>
      <c r="M23" s="967"/>
      <c r="N23" s="967"/>
      <c r="O23" s="1007"/>
      <c r="P23" s="1007"/>
      <c r="Q23" s="1008"/>
    </row>
    <row r="24" spans="1:17" ht="36.75" customHeight="1" thickBot="1">
      <c r="A24" s="1726" t="s">
        <v>405</v>
      </c>
      <c r="B24" s="1727"/>
      <c r="C24" s="1727"/>
      <c r="D24" s="1727"/>
      <c r="E24" s="1727"/>
      <c r="F24" s="1727"/>
      <c r="G24" s="1727"/>
      <c r="H24" s="1727"/>
      <c r="I24" s="1727"/>
      <c r="J24" s="1727"/>
      <c r="K24" s="1727"/>
      <c r="L24" s="1727"/>
      <c r="M24" s="1727"/>
      <c r="N24" s="1727"/>
      <c r="O24" s="1727"/>
      <c r="P24" s="1727"/>
      <c r="Q24" s="1728"/>
    </row>
    <row r="25" spans="1:17" ht="17" thickBot="1">
      <c r="A25" s="1053"/>
      <c r="B25" s="1054"/>
      <c r="C25" s="1055"/>
      <c r="D25" s="1054"/>
      <c r="E25" s="1054"/>
      <c r="F25" s="1054"/>
      <c r="G25" s="1054"/>
      <c r="H25" s="1054"/>
      <c r="I25" s="1054"/>
      <c r="J25" s="1054"/>
      <c r="K25" s="1054"/>
      <c r="L25" s="1054"/>
      <c r="M25" s="1054"/>
      <c r="N25" s="964"/>
      <c r="O25" s="1026"/>
      <c r="P25" s="1026"/>
      <c r="Q25" s="1027"/>
    </row>
    <row r="26" spans="1:17">
      <c r="A26" s="1729" t="s">
        <v>1762</v>
      </c>
      <c r="B26" s="1730"/>
      <c r="C26" s="1730"/>
      <c r="D26" s="1730"/>
      <c r="E26" s="1730"/>
      <c r="F26" s="1730"/>
      <c r="G26" s="1730"/>
      <c r="H26" s="1730"/>
      <c r="I26" s="1730"/>
      <c r="J26" s="1730"/>
      <c r="K26" s="1730"/>
      <c r="L26" s="1730"/>
      <c r="M26" s="1730"/>
      <c r="N26" s="1730"/>
      <c r="O26" s="1730"/>
      <c r="P26" s="1730"/>
      <c r="Q26" s="1731"/>
    </row>
    <row r="27" spans="1:17" ht="17" thickBot="1">
      <c r="A27" s="1732"/>
      <c r="B27" s="1733"/>
      <c r="C27" s="1733"/>
      <c r="D27" s="1733"/>
      <c r="E27" s="1733"/>
      <c r="F27" s="1733"/>
      <c r="G27" s="1733"/>
      <c r="H27" s="1733"/>
      <c r="I27" s="1733"/>
      <c r="J27" s="1733"/>
      <c r="K27" s="1733"/>
      <c r="L27" s="1733"/>
      <c r="M27" s="1733"/>
      <c r="N27" s="1733"/>
      <c r="O27" s="1733"/>
      <c r="P27" s="1733"/>
      <c r="Q27" s="1734"/>
    </row>
    <row r="28" spans="1:17">
      <c r="A28" s="1028"/>
      <c r="B28" s="1013"/>
      <c r="C28" s="1013"/>
      <c r="D28" s="1013"/>
      <c r="E28" s="1013"/>
      <c r="F28" s="1013"/>
      <c r="G28" s="1013"/>
      <c r="H28" s="1013"/>
      <c r="I28" s="1013"/>
      <c r="J28" s="1013"/>
      <c r="K28" s="1013"/>
      <c r="L28" s="1013"/>
      <c r="M28" s="1013"/>
      <c r="N28" s="1013"/>
      <c r="O28" s="1013"/>
      <c r="P28" s="1013"/>
      <c r="Q28" s="1029"/>
    </row>
    <row r="29" spans="1:17">
      <c r="A29" s="1735"/>
      <c r="B29" s="1736"/>
      <c r="C29" s="1736"/>
      <c r="D29" s="1736"/>
      <c r="E29" s="1736"/>
      <c r="F29" s="1736"/>
      <c r="G29" s="1736"/>
      <c r="H29" s="1013"/>
      <c r="I29" s="1736"/>
      <c r="J29" s="1736"/>
      <c r="K29" s="1736"/>
      <c r="L29" s="1736"/>
      <c r="M29" s="1736"/>
      <c r="N29" s="1013"/>
      <c r="O29" s="1013"/>
      <c r="P29" s="1013"/>
      <c r="Q29" s="1029"/>
    </row>
    <row r="30" spans="1:17">
      <c r="A30" s="1028"/>
      <c r="B30" s="1013"/>
      <c r="C30" s="1030" t="s">
        <v>1332</v>
      </c>
      <c r="D30" s="1013"/>
      <c r="E30" s="1013"/>
      <c r="F30" s="1013"/>
      <c r="G30" s="1013"/>
      <c r="H30" s="1013"/>
      <c r="I30" s="1031" t="s">
        <v>211</v>
      </c>
      <c r="J30" s="1013"/>
      <c r="K30" s="1013"/>
      <c r="L30" s="1013"/>
      <c r="M30" s="1013"/>
      <c r="N30" s="1013"/>
      <c r="O30" s="1013"/>
      <c r="P30" s="1013"/>
      <c r="Q30" s="1029"/>
    </row>
    <row r="31" spans="1:17">
      <c r="A31" s="1028"/>
      <c r="B31" s="1013"/>
      <c r="C31" s="1013"/>
      <c r="D31" s="1013"/>
      <c r="E31" s="1013"/>
      <c r="F31" s="1013"/>
      <c r="G31" s="1013"/>
      <c r="H31" s="1013"/>
      <c r="I31" s="1013"/>
      <c r="J31" s="1013"/>
      <c r="K31" s="1013"/>
      <c r="L31" s="1013"/>
      <c r="M31" s="1013"/>
      <c r="N31" s="1013"/>
      <c r="O31" s="1013"/>
      <c r="P31" s="1013"/>
      <c r="Q31" s="1029"/>
    </row>
    <row r="32" spans="1:17">
      <c r="A32" s="1735"/>
      <c r="B32" s="1736"/>
      <c r="C32" s="1736"/>
      <c r="D32" s="1736"/>
      <c r="E32" s="1736"/>
      <c r="F32" s="1736"/>
      <c r="G32" s="1736"/>
      <c r="H32" s="1013"/>
      <c r="I32" s="1013"/>
      <c r="J32" s="1013"/>
      <c r="K32" s="1013"/>
      <c r="L32" s="1013"/>
      <c r="M32" s="1013"/>
      <c r="N32" s="1013"/>
      <c r="O32" s="1013"/>
      <c r="P32" s="1013"/>
      <c r="Q32" s="1029"/>
    </row>
    <row r="33" spans="1:17">
      <c r="A33" s="1028"/>
      <c r="B33" s="1013"/>
      <c r="C33" s="1030" t="s">
        <v>1333</v>
      </c>
      <c r="D33" s="1013"/>
      <c r="E33" s="1013"/>
      <c r="F33" s="1013"/>
      <c r="G33" s="1013"/>
      <c r="H33" s="1013"/>
      <c r="I33" s="1013"/>
      <c r="J33" s="1013"/>
      <c r="K33" s="1013"/>
      <c r="L33" s="1013"/>
      <c r="M33" s="1013"/>
      <c r="N33" s="1013"/>
      <c r="O33" s="1013"/>
      <c r="P33" s="1013"/>
      <c r="Q33" s="1029"/>
    </row>
    <row r="34" spans="1:17">
      <c r="A34" s="1028"/>
      <c r="B34" s="1013"/>
      <c r="C34" s="1013"/>
      <c r="D34" s="1013"/>
      <c r="E34" s="1013"/>
      <c r="F34" s="1013"/>
      <c r="G34" s="1013"/>
      <c r="H34" s="1013"/>
      <c r="I34" s="1013"/>
      <c r="J34" s="1013"/>
      <c r="K34" s="1013"/>
      <c r="L34" s="1013"/>
      <c r="M34" s="1013"/>
      <c r="N34" s="1013"/>
      <c r="O34" s="1013"/>
      <c r="P34" s="1013"/>
      <c r="Q34" s="1029"/>
    </row>
    <row r="35" spans="1:17" ht="17" thickBot="1">
      <c r="A35" s="1024"/>
      <c r="B35" s="964"/>
      <c r="C35" s="1699"/>
      <c r="D35" s="1699"/>
      <c r="E35" s="1700"/>
      <c r="F35" s="1700"/>
      <c r="G35" s="1700"/>
      <c r="H35" s="1025"/>
      <c r="I35" s="1025"/>
      <c r="J35" s="1025"/>
      <c r="K35" s="964"/>
      <c r="L35" s="964"/>
      <c r="M35" s="964"/>
      <c r="N35" s="964"/>
      <c r="O35" s="1026"/>
      <c r="P35" s="1026"/>
      <c r="Q35" s="1027"/>
    </row>
    <row r="36" spans="1:17" hidden="1">
      <c r="A36" s="966"/>
      <c r="B36" s="967"/>
      <c r="C36" s="967"/>
      <c r="D36" s="967"/>
      <c r="E36" s="1033" t="s">
        <v>557</v>
      </c>
      <c r="F36" s="1033"/>
      <c r="G36" s="1034" t="s">
        <v>1165</v>
      </c>
      <c r="H36" s="1035"/>
      <c r="I36" s="968"/>
      <c r="J36" s="968"/>
      <c r="K36" s="967" t="s">
        <v>482</v>
      </c>
      <c r="L36" s="967"/>
      <c r="M36" s="967"/>
      <c r="N36" s="967"/>
      <c r="O36" s="1007"/>
      <c r="P36" s="1007"/>
      <c r="Q36" s="1008"/>
    </row>
    <row r="37" spans="1:17" hidden="1">
      <c r="A37" s="966"/>
      <c r="B37" s="967"/>
      <c r="C37" s="967">
        <v>1</v>
      </c>
      <c r="D37" s="967"/>
      <c r="E37" s="1034" t="s">
        <v>558</v>
      </c>
      <c r="F37" s="1034"/>
      <c r="G37" s="1036" t="s">
        <v>417</v>
      </c>
      <c r="H37" s="1035"/>
      <c r="I37" s="968"/>
      <c r="J37" s="968"/>
      <c r="K37" s="967" t="s">
        <v>1666</v>
      </c>
      <c r="L37" s="967"/>
      <c r="M37" s="967"/>
      <c r="N37" s="967"/>
      <c r="O37" s="1007"/>
      <c r="P37" s="1007"/>
      <c r="Q37" s="1008"/>
    </row>
    <row r="38" spans="1:17" hidden="1">
      <c r="A38" s="966"/>
      <c r="B38" s="967"/>
      <c r="C38" s="967">
        <v>2</v>
      </c>
      <c r="D38" s="967"/>
      <c r="E38" s="1034" t="s">
        <v>559</v>
      </c>
      <c r="F38" s="1034"/>
      <c r="G38" s="1036" t="s">
        <v>418</v>
      </c>
      <c r="H38" s="1035"/>
      <c r="I38" s="968"/>
      <c r="J38" s="968"/>
      <c r="K38" s="967" t="s">
        <v>560</v>
      </c>
      <c r="L38" s="967"/>
      <c r="M38" s="967"/>
      <c r="N38" s="967"/>
      <c r="O38" s="1007"/>
      <c r="P38" s="1007"/>
      <c r="Q38" s="1008"/>
    </row>
    <row r="39" spans="1:17" hidden="1">
      <c r="A39" s="966"/>
      <c r="B39" s="967"/>
      <c r="C39" s="967">
        <v>3</v>
      </c>
      <c r="D39" s="967"/>
      <c r="E39" s="1034" t="s">
        <v>561</v>
      </c>
      <c r="F39" s="1034"/>
      <c r="G39" s="1036" t="s">
        <v>419</v>
      </c>
      <c r="H39" s="1035"/>
      <c r="I39" s="968"/>
      <c r="J39" s="968"/>
      <c r="K39" s="967"/>
      <c r="L39" s="967"/>
      <c r="M39" s="967"/>
      <c r="N39" s="967"/>
      <c r="O39" s="1007"/>
      <c r="P39" s="1007"/>
      <c r="Q39" s="1008"/>
    </row>
    <row r="40" spans="1:17" hidden="1">
      <c r="A40" s="966"/>
      <c r="B40" s="967"/>
      <c r="C40" s="967">
        <v>4</v>
      </c>
      <c r="D40" s="967"/>
      <c r="E40" s="1034" t="s">
        <v>562</v>
      </c>
      <c r="F40" s="1034"/>
      <c r="G40" s="1036" t="s">
        <v>420</v>
      </c>
      <c r="H40" s="1035"/>
      <c r="I40" s="968"/>
      <c r="J40" s="968"/>
      <c r="K40" s="967"/>
      <c r="L40" s="967"/>
      <c r="M40" s="967"/>
      <c r="N40" s="967"/>
      <c r="O40" s="1007"/>
      <c r="P40" s="1007"/>
      <c r="Q40" s="1008"/>
    </row>
    <row r="41" spans="1:17" hidden="1">
      <c r="A41" s="966"/>
      <c r="B41" s="967"/>
      <c r="C41" s="967">
        <v>5</v>
      </c>
      <c r="D41" s="967"/>
      <c r="E41" s="1034" t="s">
        <v>563</v>
      </c>
      <c r="F41" s="1034"/>
      <c r="G41" s="1036" t="s">
        <v>421</v>
      </c>
      <c r="H41" s="1035"/>
      <c r="I41" s="968"/>
      <c r="J41" s="968"/>
      <c r="K41" s="967"/>
      <c r="L41" s="967"/>
      <c r="M41" s="967"/>
      <c r="N41" s="967"/>
      <c r="O41" s="1007"/>
      <c r="P41" s="1007"/>
      <c r="Q41" s="1008"/>
    </row>
    <row r="42" spans="1:17" hidden="1">
      <c r="A42" s="966"/>
      <c r="B42" s="967"/>
      <c r="C42" s="967">
        <v>6</v>
      </c>
      <c r="D42" s="967"/>
      <c r="E42" s="1034" t="s">
        <v>564</v>
      </c>
      <c r="F42" s="1034"/>
      <c r="G42" s="1036" t="s">
        <v>422</v>
      </c>
      <c r="H42" s="1035"/>
      <c r="I42" s="968"/>
      <c r="J42" s="968"/>
      <c r="K42" s="967"/>
      <c r="L42" s="967"/>
      <c r="M42" s="967"/>
      <c r="N42" s="967"/>
      <c r="O42" s="1007"/>
      <c r="P42" s="1007"/>
      <c r="Q42" s="1008"/>
    </row>
    <row r="43" spans="1:17" hidden="1">
      <c r="A43" s="966"/>
      <c r="B43" s="967"/>
      <c r="C43" s="967">
        <v>7</v>
      </c>
      <c r="D43" s="967"/>
      <c r="E43" s="1034" t="s">
        <v>565</v>
      </c>
      <c r="F43" s="1034"/>
      <c r="G43" s="1036" t="s">
        <v>423</v>
      </c>
      <c r="H43" s="1035"/>
      <c r="I43" s="968"/>
      <c r="J43" s="968"/>
      <c r="K43" s="967"/>
      <c r="L43" s="967"/>
      <c r="M43" s="967"/>
      <c r="N43" s="967"/>
      <c r="O43" s="1007"/>
      <c r="P43" s="1007"/>
      <c r="Q43" s="1008"/>
    </row>
    <row r="44" spans="1:17" hidden="1">
      <c r="A44" s="966"/>
      <c r="B44" s="967"/>
      <c r="C44" s="967">
        <v>8</v>
      </c>
      <c r="D44" s="967"/>
      <c r="E44" s="1034" t="s">
        <v>566</v>
      </c>
      <c r="F44" s="1034"/>
      <c r="G44" s="1036" t="s">
        <v>424</v>
      </c>
      <c r="H44" s="1035"/>
      <c r="I44" s="968"/>
      <c r="J44" s="968"/>
      <c r="K44" s="967"/>
      <c r="L44" s="967"/>
      <c r="M44" s="967"/>
      <c r="N44" s="967"/>
      <c r="O44" s="1007"/>
      <c r="P44" s="1007"/>
      <c r="Q44" s="1008"/>
    </row>
    <row r="45" spans="1:17" hidden="1">
      <c r="A45" s="966"/>
      <c r="B45" s="967"/>
      <c r="C45" s="967">
        <v>9</v>
      </c>
      <c r="D45" s="967"/>
      <c r="E45" s="1034" t="s">
        <v>567</v>
      </c>
      <c r="F45" s="1034"/>
      <c r="G45" s="1037" t="s">
        <v>425</v>
      </c>
      <c r="H45" s="1035"/>
      <c r="I45" s="968"/>
      <c r="J45" s="968"/>
      <c r="K45" s="967"/>
      <c r="L45" s="967"/>
      <c r="M45" s="967"/>
      <c r="N45" s="967"/>
      <c r="O45" s="1007"/>
      <c r="P45" s="1007"/>
      <c r="Q45" s="1008"/>
    </row>
    <row r="46" spans="1:17" ht="30" hidden="1" customHeight="1">
      <c r="A46" s="966"/>
      <c r="B46" s="967"/>
      <c r="C46" s="967">
        <v>10</v>
      </c>
      <c r="D46" s="967"/>
      <c r="E46" s="1034" t="s">
        <v>568</v>
      </c>
      <c r="F46" s="1034"/>
      <c r="G46" s="1036" t="s">
        <v>426</v>
      </c>
      <c r="H46" s="1035"/>
      <c r="I46" s="968"/>
      <c r="J46" s="968"/>
      <c r="K46" s="967"/>
      <c r="L46" s="967"/>
      <c r="M46" s="967"/>
      <c r="N46" s="967"/>
      <c r="O46" s="1007"/>
      <c r="P46" s="1007"/>
      <c r="Q46" s="1008"/>
    </row>
    <row r="47" spans="1:17" hidden="1">
      <c r="A47" s="966"/>
      <c r="B47" s="967"/>
      <c r="C47" s="967">
        <v>11</v>
      </c>
      <c r="D47" s="967"/>
      <c r="E47" s="1034" t="s">
        <v>569</v>
      </c>
      <c r="F47" s="1034"/>
      <c r="G47" s="1036" t="s">
        <v>417</v>
      </c>
      <c r="H47" s="1035"/>
      <c r="I47" s="968"/>
      <c r="J47" s="968"/>
      <c r="K47" s="967"/>
      <c r="L47" s="967"/>
      <c r="M47" s="967"/>
      <c r="N47" s="967"/>
      <c r="O47" s="1007"/>
      <c r="P47" s="1007"/>
      <c r="Q47" s="1008"/>
    </row>
    <row r="48" spans="1:17" hidden="1">
      <c r="A48" s="966"/>
      <c r="B48" s="967"/>
      <c r="C48" s="967">
        <v>12</v>
      </c>
      <c r="D48" s="967"/>
      <c r="E48" s="1034" t="s">
        <v>570</v>
      </c>
      <c r="F48" s="1034"/>
      <c r="G48" s="1036" t="s">
        <v>427</v>
      </c>
      <c r="H48" s="1035"/>
      <c r="I48" s="968"/>
      <c r="J48" s="968"/>
      <c r="K48" s="967"/>
      <c r="L48" s="967"/>
      <c r="M48" s="967"/>
      <c r="N48" s="967"/>
      <c r="O48" s="1007"/>
      <c r="P48" s="1007"/>
      <c r="Q48" s="1008"/>
    </row>
    <row r="49" spans="1:17" hidden="1">
      <c r="A49" s="966"/>
      <c r="B49" s="967"/>
      <c r="C49" s="967">
        <v>13</v>
      </c>
      <c r="D49" s="967"/>
      <c r="E49" s="1034" t="s">
        <v>571</v>
      </c>
      <c r="F49" s="1034"/>
      <c r="G49" s="1036" t="s">
        <v>428</v>
      </c>
      <c r="H49" s="1035"/>
      <c r="I49" s="968"/>
      <c r="J49" s="968"/>
      <c r="K49" s="967"/>
      <c r="L49" s="967"/>
      <c r="M49" s="967"/>
      <c r="N49" s="967"/>
      <c r="O49" s="1007"/>
      <c r="P49" s="1007"/>
      <c r="Q49" s="1008"/>
    </row>
    <row r="50" spans="1:17" hidden="1">
      <c r="A50" s="966"/>
      <c r="B50" s="967"/>
      <c r="C50" s="967">
        <v>14</v>
      </c>
      <c r="D50" s="967"/>
      <c r="E50" s="1034" t="s">
        <v>572</v>
      </c>
      <c r="F50" s="1034"/>
      <c r="G50" s="1034"/>
      <c r="H50" s="1035"/>
      <c r="I50" s="968"/>
      <c r="J50" s="968"/>
      <c r="K50" s="967"/>
      <c r="L50" s="967"/>
      <c r="M50" s="967"/>
      <c r="N50" s="967"/>
      <c r="O50" s="1007"/>
      <c r="P50" s="1007"/>
      <c r="Q50" s="1008"/>
    </row>
    <row r="51" spans="1:17" hidden="1">
      <c r="A51" s="966"/>
      <c r="B51" s="967"/>
      <c r="C51" s="967">
        <v>15</v>
      </c>
      <c r="D51" s="967"/>
      <c r="E51" s="1034" t="s">
        <v>573</v>
      </c>
      <c r="F51" s="1034"/>
      <c r="G51" s="1034"/>
      <c r="H51" s="1035"/>
      <c r="I51" s="968"/>
      <c r="J51" s="968"/>
      <c r="K51" s="967"/>
      <c r="L51" s="967"/>
      <c r="M51" s="967"/>
      <c r="N51" s="967"/>
      <c r="O51" s="1007"/>
      <c r="P51" s="1007"/>
      <c r="Q51" s="1008"/>
    </row>
    <row r="52" spans="1:17" hidden="1">
      <c r="A52" s="966"/>
      <c r="B52" s="967"/>
      <c r="C52" s="967">
        <v>16</v>
      </c>
      <c r="D52" s="967"/>
      <c r="E52" s="1034" t="s">
        <v>574</v>
      </c>
      <c r="F52" s="1034"/>
      <c r="G52" s="1034"/>
      <c r="H52" s="1035"/>
      <c r="I52" s="968"/>
      <c r="J52" s="968"/>
      <c r="K52" s="967"/>
      <c r="L52" s="967"/>
      <c r="M52" s="967"/>
      <c r="N52" s="967"/>
      <c r="O52" s="1007"/>
      <c r="P52" s="1007"/>
      <c r="Q52" s="1008"/>
    </row>
    <row r="53" spans="1:17" hidden="1">
      <c r="A53" s="966"/>
      <c r="B53" s="967"/>
      <c r="C53" s="967">
        <v>17</v>
      </c>
      <c r="D53" s="967"/>
      <c r="E53" s="1034" t="s">
        <v>575</v>
      </c>
      <c r="F53" s="1034"/>
      <c r="G53" s="1034"/>
      <c r="H53" s="1035"/>
      <c r="I53" s="968"/>
      <c r="J53" s="968"/>
      <c r="K53" s="967"/>
      <c r="L53" s="967"/>
      <c r="M53" s="967"/>
      <c r="N53" s="967"/>
      <c r="O53" s="1007"/>
      <c r="P53" s="1007"/>
      <c r="Q53" s="1008"/>
    </row>
    <row r="54" spans="1:17" hidden="1">
      <c r="A54" s="966"/>
      <c r="B54" s="967"/>
      <c r="C54" s="967">
        <v>18</v>
      </c>
      <c r="D54" s="967"/>
      <c r="E54" s="1034" t="s">
        <v>576</v>
      </c>
      <c r="F54" s="1034"/>
      <c r="G54" s="1034"/>
      <c r="H54" s="1035"/>
      <c r="I54" s="968"/>
      <c r="J54" s="968"/>
      <c r="K54" s="967"/>
      <c r="L54" s="967"/>
      <c r="M54" s="967"/>
      <c r="N54" s="967"/>
      <c r="O54" s="1007"/>
      <c r="P54" s="1007"/>
      <c r="Q54" s="1008"/>
    </row>
    <row r="55" spans="1:17" hidden="1">
      <c r="A55" s="966"/>
      <c r="B55" s="967"/>
      <c r="C55" s="967">
        <v>19</v>
      </c>
      <c r="D55" s="967"/>
      <c r="E55" s="967" t="s">
        <v>577</v>
      </c>
      <c r="F55" s="967"/>
      <c r="G55" s="1034"/>
      <c r="H55" s="1035"/>
      <c r="I55" s="968"/>
      <c r="J55" s="968"/>
      <c r="K55" s="967"/>
      <c r="L55" s="967"/>
      <c r="M55" s="967"/>
      <c r="N55" s="967"/>
      <c r="O55" s="1007"/>
      <c r="P55" s="1007"/>
      <c r="Q55" s="1008"/>
    </row>
    <row r="56" spans="1:17" hidden="1">
      <c r="A56" s="966"/>
      <c r="B56" s="967"/>
      <c r="C56" s="967">
        <v>20</v>
      </c>
      <c r="D56" s="967"/>
      <c r="E56" s="1034" t="s">
        <v>578</v>
      </c>
      <c r="F56" s="1034"/>
      <c r="G56" s="1034"/>
      <c r="H56" s="1035"/>
      <c r="I56" s="968"/>
      <c r="J56" s="968"/>
      <c r="K56" s="967"/>
      <c r="L56" s="967"/>
      <c r="M56" s="967"/>
      <c r="N56" s="967"/>
      <c r="O56" s="1007"/>
      <c r="P56" s="1007"/>
      <c r="Q56" s="1008"/>
    </row>
    <row r="57" spans="1:17" hidden="1">
      <c r="A57" s="966"/>
      <c r="B57" s="967"/>
      <c r="C57" s="967">
        <v>21</v>
      </c>
      <c r="D57" s="967"/>
      <c r="E57" s="1034" t="s">
        <v>579</v>
      </c>
      <c r="F57" s="1034"/>
      <c r="G57" s="1034"/>
      <c r="H57" s="1035"/>
      <c r="I57" s="968"/>
      <c r="J57" s="968"/>
      <c r="K57" s="967"/>
      <c r="L57" s="967"/>
      <c r="M57" s="967"/>
      <c r="N57" s="967"/>
      <c r="O57" s="1007"/>
      <c r="P57" s="1007"/>
      <c r="Q57" s="1008"/>
    </row>
    <row r="58" spans="1:17" hidden="1">
      <c r="A58" s="966"/>
      <c r="B58" s="967"/>
      <c r="C58" s="967">
        <v>22</v>
      </c>
      <c r="D58" s="967"/>
      <c r="E58" s="1034" t="s">
        <v>580</v>
      </c>
      <c r="F58" s="1034"/>
      <c r="G58" s="1034"/>
      <c r="H58" s="1035"/>
      <c r="I58" s="968"/>
      <c r="J58" s="968"/>
      <c r="K58" s="967"/>
      <c r="L58" s="967"/>
      <c r="M58" s="967"/>
      <c r="N58" s="967"/>
      <c r="O58" s="1007"/>
      <c r="P58" s="1007"/>
      <c r="Q58" s="1008"/>
    </row>
    <row r="59" spans="1:17" hidden="1">
      <c r="A59" s="966"/>
      <c r="B59" s="967"/>
      <c r="C59" s="967">
        <v>23</v>
      </c>
      <c r="D59" s="967"/>
      <c r="E59" s="1034" t="s">
        <v>581</v>
      </c>
      <c r="F59" s="1034"/>
      <c r="G59" s="1034"/>
      <c r="H59" s="1035"/>
      <c r="I59" s="968"/>
      <c r="J59" s="968"/>
      <c r="K59" s="967"/>
      <c r="L59" s="967"/>
      <c r="M59" s="967"/>
      <c r="N59" s="967"/>
      <c r="O59" s="1007"/>
      <c r="P59" s="1007"/>
      <c r="Q59" s="1008"/>
    </row>
    <row r="60" spans="1:17" ht="18" hidden="1" customHeight="1">
      <c r="A60" s="966"/>
      <c r="B60" s="967"/>
      <c r="C60" s="967">
        <v>24</v>
      </c>
      <c r="D60" s="967"/>
      <c r="E60" s="1034" t="s">
        <v>582</v>
      </c>
      <c r="F60" s="1034"/>
      <c r="G60" s="1034"/>
      <c r="H60" s="1035"/>
      <c r="I60" s="968"/>
      <c r="J60" s="968"/>
      <c r="K60" s="967"/>
      <c r="L60" s="967"/>
      <c r="M60" s="967"/>
      <c r="N60" s="967"/>
      <c r="O60" s="1007"/>
      <c r="P60" s="1007"/>
      <c r="Q60" s="1008"/>
    </row>
    <row r="61" spans="1:17" ht="15.75" hidden="1" customHeight="1">
      <c r="A61" s="966"/>
      <c r="B61" s="967"/>
      <c r="C61" s="967">
        <v>25</v>
      </c>
      <c r="D61" s="967"/>
      <c r="E61" s="1034" t="s">
        <v>583</v>
      </c>
      <c r="F61" s="1034"/>
      <c r="G61" s="1034"/>
      <c r="H61" s="1035"/>
      <c r="I61" s="968"/>
      <c r="J61" s="968"/>
      <c r="K61" s="967"/>
      <c r="L61" s="967"/>
      <c r="M61" s="967"/>
      <c r="N61" s="967"/>
      <c r="O61" s="1007"/>
      <c r="P61" s="1007"/>
      <c r="Q61" s="1008"/>
    </row>
    <row r="62" spans="1:17" hidden="1">
      <c r="A62" s="966"/>
      <c r="B62" s="967"/>
      <c r="C62" s="967">
        <v>26</v>
      </c>
      <c r="D62" s="967"/>
      <c r="E62" s="1034" t="s">
        <v>584</v>
      </c>
      <c r="F62" s="1034"/>
      <c r="G62" s="1034"/>
      <c r="H62" s="1035"/>
      <c r="I62" s="968"/>
      <c r="J62" s="968"/>
      <c r="K62" s="967"/>
      <c r="L62" s="967"/>
      <c r="M62" s="967"/>
      <c r="N62" s="967"/>
      <c r="O62" s="1007"/>
      <c r="P62" s="1007"/>
      <c r="Q62" s="1008"/>
    </row>
    <row r="63" spans="1:17" hidden="1">
      <c r="A63" s="966"/>
      <c r="B63" s="967"/>
      <c r="C63" s="967">
        <v>27</v>
      </c>
      <c r="D63" s="967"/>
      <c r="E63" s="1034" t="s">
        <v>585</v>
      </c>
      <c r="F63" s="1034"/>
      <c r="G63" s="1034"/>
      <c r="H63" s="1035"/>
      <c r="I63" s="968"/>
      <c r="J63" s="968"/>
      <c r="K63" s="967"/>
      <c r="L63" s="967"/>
      <c r="M63" s="967"/>
      <c r="N63" s="967"/>
      <c r="O63" s="1007"/>
      <c r="P63" s="1007"/>
      <c r="Q63" s="1008"/>
    </row>
    <row r="64" spans="1:17" hidden="1">
      <c r="A64" s="966"/>
      <c r="B64" s="967"/>
      <c r="C64" s="967">
        <v>28</v>
      </c>
      <c r="D64" s="967"/>
      <c r="E64" s="1034" t="s">
        <v>586</v>
      </c>
      <c r="F64" s="1034"/>
      <c r="G64" s="1034"/>
      <c r="H64" s="1035"/>
      <c r="I64" s="968"/>
      <c r="J64" s="968"/>
      <c r="K64" s="967"/>
      <c r="L64" s="967"/>
      <c r="M64" s="967"/>
      <c r="N64" s="967"/>
      <c r="O64" s="1007"/>
      <c r="P64" s="1007"/>
      <c r="Q64" s="1008"/>
    </row>
    <row r="65" spans="1:17" hidden="1">
      <c r="A65" s="966"/>
      <c r="B65" s="967"/>
      <c r="C65" s="967">
        <v>29</v>
      </c>
      <c r="D65" s="967"/>
      <c r="E65" s="1034" t="s">
        <v>587</v>
      </c>
      <c r="F65" s="1034"/>
      <c r="G65" s="1034"/>
      <c r="H65" s="1035"/>
      <c r="I65" s="968"/>
      <c r="J65" s="968"/>
      <c r="K65" s="967"/>
      <c r="L65" s="967"/>
      <c r="M65" s="967"/>
      <c r="N65" s="967"/>
      <c r="O65" s="1007"/>
      <c r="P65" s="1007"/>
      <c r="Q65" s="1008"/>
    </row>
    <row r="66" spans="1:17" hidden="1">
      <c r="A66" s="966"/>
      <c r="B66" s="967"/>
      <c r="C66" s="967">
        <v>30</v>
      </c>
      <c r="D66" s="967"/>
      <c r="E66" s="1034" t="s">
        <v>588</v>
      </c>
      <c r="F66" s="1034"/>
      <c r="G66" s="1034"/>
      <c r="H66" s="1035"/>
      <c r="I66" s="968"/>
      <c r="J66" s="968"/>
      <c r="K66" s="967"/>
      <c r="L66" s="967"/>
      <c r="M66" s="967"/>
      <c r="N66" s="967"/>
      <c r="O66" s="1007"/>
      <c r="P66" s="1007"/>
      <c r="Q66" s="1008"/>
    </row>
    <row r="67" spans="1:17" hidden="1">
      <c r="A67" s="966"/>
      <c r="B67" s="967"/>
      <c r="C67" s="967">
        <v>31</v>
      </c>
      <c r="D67" s="967"/>
      <c r="E67" s="1034" t="s">
        <v>589</v>
      </c>
      <c r="F67" s="1034"/>
      <c r="G67" s="1034"/>
      <c r="H67" s="1035"/>
      <c r="I67" s="968"/>
      <c r="J67" s="968"/>
      <c r="K67" s="967"/>
      <c r="L67" s="967"/>
      <c r="M67" s="967"/>
      <c r="N67" s="967"/>
      <c r="O67" s="1007"/>
      <c r="P67" s="1007"/>
      <c r="Q67" s="1008"/>
    </row>
    <row r="68" spans="1:17" ht="18" hidden="1" customHeight="1">
      <c r="A68" s="966"/>
      <c r="B68" s="967"/>
      <c r="C68" s="967">
        <v>32</v>
      </c>
      <c r="D68" s="967"/>
      <c r="E68" s="1034" t="s">
        <v>590</v>
      </c>
      <c r="F68" s="1034"/>
      <c r="G68" s="1034"/>
      <c r="H68" s="1035"/>
      <c r="I68" s="968"/>
      <c r="J68" s="968"/>
      <c r="K68" s="967"/>
      <c r="L68" s="967"/>
      <c r="M68" s="967"/>
      <c r="N68" s="967"/>
      <c r="O68" s="1007"/>
      <c r="P68" s="1007"/>
      <c r="Q68" s="1008"/>
    </row>
    <row r="69" spans="1:17" ht="15.75" hidden="1" customHeight="1">
      <c r="A69" s="966"/>
      <c r="B69" s="967"/>
      <c r="C69" s="967">
        <v>33</v>
      </c>
      <c r="D69" s="967"/>
      <c r="E69" s="1034" t="s">
        <v>591</v>
      </c>
      <c r="F69" s="1034"/>
      <c r="G69" s="1034"/>
      <c r="H69" s="1035"/>
      <c r="I69" s="968"/>
      <c r="J69" s="968"/>
      <c r="K69" s="967"/>
      <c r="L69" s="967"/>
      <c r="M69" s="967"/>
      <c r="N69" s="967"/>
      <c r="O69" s="1007"/>
      <c r="P69" s="1007"/>
      <c r="Q69" s="1008"/>
    </row>
    <row r="70" spans="1:17" hidden="1">
      <c r="A70" s="966"/>
      <c r="B70" s="967"/>
      <c r="C70" s="967">
        <v>34</v>
      </c>
      <c r="D70" s="967"/>
      <c r="E70" s="1034" t="s">
        <v>592</v>
      </c>
      <c r="F70" s="1034"/>
      <c r="G70" s="1034"/>
      <c r="H70" s="1035"/>
      <c r="I70" s="968"/>
      <c r="J70" s="968"/>
      <c r="K70" s="967"/>
      <c r="L70" s="967"/>
      <c r="M70" s="967"/>
      <c r="N70" s="967"/>
      <c r="O70" s="1007"/>
      <c r="P70" s="1007"/>
      <c r="Q70" s="1008"/>
    </row>
    <row r="71" spans="1:17" hidden="1">
      <c r="A71" s="966"/>
      <c r="B71" s="967"/>
      <c r="C71" s="967">
        <v>35</v>
      </c>
      <c r="D71" s="967"/>
      <c r="E71" s="1034" t="s">
        <v>593</v>
      </c>
      <c r="F71" s="1034"/>
      <c r="G71" s="1034"/>
      <c r="H71" s="1035"/>
      <c r="I71" s="968"/>
      <c r="J71" s="968"/>
      <c r="K71" s="967"/>
      <c r="L71" s="967"/>
      <c r="M71" s="967"/>
      <c r="N71" s="967"/>
      <c r="O71" s="1007"/>
      <c r="P71" s="1007"/>
      <c r="Q71" s="1008"/>
    </row>
    <row r="72" spans="1:17" hidden="1">
      <c r="A72" s="966"/>
      <c r="B72" s="967"/>
      <c r="C72" s="967">
        <v>36</v>
      </c>
      <c r="D72" s="967"/>
      <c r="E72" s="1034" t="s">
        <v>594</v>
      </c>
      <c r="F72" s="1034"/>
      <c r="G72" s="1034"/>
      <c r="H72" s="1035"/>
      <c r="I72" s="968"/>
      <c r="J72" s="968"/>
      <c r="K72" s="967"/>
      <c r="L72" s="967"/>
      <c r="M72" s="967"/>
      <c r="N72" s="967"/>
      <c r="O72" s="1007"/>
      <c r="P72" s="1007"/>
      <c r="Q72" s="1008"/>
    </row>
    <row r="73" spans="1:17" ht="15.75" hidden="1" customHeight="1">
      <c r="A73" s="966"/>
      <c r="B73" s="967"/>
      <c r="C73" s="967">
        <v>37</v>
      </c>
      <c r="D73" s="967"/>
      <c r="E73" s="1034" t="s">
        <v>595</v>
      </c>
      <c r="F73" s="1034"/>
      <c r="G73" s="1034"/>
      <c r="H73" s="1035"/>
      <c r="I73" s="968"/>
      <c r="J73" s="968"/>
      <c r="K73" s="967"/>
      <c r="L73" s="967"/>
      <c r="M73" s="967"/>
      <c r="N73" s="967"/>
      <c r="O73" s="1007"/>
      <c r="P73" s="1007"/>
      <c r="Q73" s="1008"/>
    </row>
    <row r="74" spans="1:17" hidden="1">
      <c r="A74" s="966"/>
      <c r="B74" s="967"/>
      <c r="C74" s="967">
        <v>38</v>
      </c>
      <c r="D74" s="967"/>
      <c r="E74" s="1034" t="s">
        <v>596</v>
      </c>
      <c r="F74" s="1034"/>
      <c r="G74" s="1034"/>
      <c r="H74" s="1035"/>
      <c r="I74" s="968"/>
      <c r="J74" s="968"/>
      <c r="K74" s="967"/>
      <c r="L74" s="967"/>
      <c r="M74" s="967"/>
      <c r="N74" s="967"/>
      <c r="O74" s="1007"/>
      <c r="P74" s="1007"/>
      <c r="Q74" s="1008"/>
    </row>
    <row r="75" spans="1:17" ht="30" hidden="1" customHeight="1">
      <c r="A75" s="966"/>
      <c r="B75" s="967"/>
      <c r="C75" s="967">
        <v>39</v>
      </c>
      <c r="D75" s="967"/>
      <c r="E75" s="1034" t="s">
        <v>597</v>
      </c>
      <c r="F75" s="1034"/>
      <c r="G75" s="1034"/>
      <c r="H75" s="1035"/>
      <c r="I75" s="968"/>
      <c r="J75" s="968"/>
      <c r="K75" s="967"/>
      <c r="L75" s="967"/>
      <c r="M75" s="967"/>
      <c r="N75" s="967"/>
      <c r="O75" s="1007"/>
      <c r="P75" s="1007"/>
      <c r="Q75" s="1008"/>
    </row>
    <row r="76" spans="1:17" hidden="1">
      <c r="A76" s="966"/>
      <c r="B76" s="967"/>
      <c r="C76" s="967">
        <v>40</v>
      </c>
      <c r="D76" s="967"/>
      <c r="E76" s="1034" t="s">
        <v>598</v>
      </c>
      <c r="F76" s="1034"/>
      <c r="G76" s="1034"/>
      <c r="H76" s="1035"/>
      <c r="I76" s="968"/>
      <c r="J76" s="968"/>
      <c r="K76" s="967"/>
      <c r="L76" s="967"/>
      <c r="M76" s="967"/>
      <c r="N76" s="967"/>
      <c r="O76" s="1007"/>
      <c r="P76" s="1007"/>
      <c r="Q76" s="1008"/>
    </row>
    <row r="77" spans="1:17" hidden="1">
      <c r="A77" s="966"/>
      <c r="B77" s="967"/>
      <c r="C77" s="967">
        <v>41</v>
      </c>
      <c r="D77" s="967"/>
      <c r="E77" s="1034" t="s">
        <v>599</v>
      </c>
      <c r="F77" s="1034"/>
      <c r="G77" s="1034"/>
      <c r="H77" s="1035"/>
      <c r="I77" s="968"/>
      <c r="J77" s="968"/>
      <c r="K77" s="967"/>
      <c r="L77" s="967"/>
      <c r="M77" s="967"/>
      <c r="N77" s="967"/>
      <c r="O77" s="1007"/>
      <c r="P77" s="1007"/>
      <c r="Q77" s="1008"/>
    </row>
    <row r="78" spans="1:17" hidden="1">
      <c r="A78" s="966"/>
      <c r="B78" s="967"/>
      <c r="C78" s="967">
        <v>42</v>
      </c>
      <c r="D78" s="967"/>
      <c r="E78" s="1034" t="s">
        <v>600</v>
      </c>
      <c r="F78" s="1034"/>
      <c r="G78" s="1034"/>
      <c r="H78" s="1035"/>
      <c r="I78" s="968"/>
      <c r="J78" s="968"/>
      <c r="K78" s="967"/>
      <c r="L78" s="967"/>
      <c r="M78" s="967"/>
      <c r="N78" s="967"/>
      <c r="O78" s="1007"/>
      <c r="P78" s="1007"/>
      <c r="Q78" s="1008"/>
    </row>
    <row r="79" spans="1:17" hidden="1">
      <c r="A79" s="966"/>
      <c r="B79" s="967"/>
      <c r="C79" s="967">
        <v>43</v>
      </c>
      <c r="D79" s="967"/>
      <c r="E79" s="1034" t="s">
        <v>601</v>
      </c>
      <c r="F79" s="1034"/>
      <c r="G79" s="1034"/>
      <c r="H79" s="1035"/>
      <c r="I79" s="968"/>
      <c r="J79" s="968"/>
      <c r="K79" s="967"/>
      <c r="L79" s="967"/>
      <c r="M79" s="967"/>
      <c r="N79" s="967"/>
      <c r="O79" s="1007"/>
      <c r="P79" s="1007"/>
      <c r="Q79" s="1008"/>
    </row>
    <row r="80" spans="1:17" hidden="1">
      <c r="A80" s="966"/>
      <c r="B80" s="967"/>
      <c r="C80" s="967">
        <v>44</v>
      </c>
      <c r="D80" s="967"/>
      <c r="E80" s="1034" t="s">
        <v>602</v>
      </c>
      <c r="F80" s="1034"/>
      <c r="G80" s="1034"/>
      <c r="H80" s="1035"/>
      <c r="I80" s="968"/>
      <c r="J80" s="968"/>
      <c r="K80" s="967"/>
      <c r="L80" s="967"/>
      <c r="M80" s="967"/>
      <c r="N80" s="967"/>
      <c r="O80" s="1007"/>
      <c r="P80" s="1007"/>
      <c r="Q80" s="1008"/>
    </row>
    <row r="81" spans="1:17" ht="18" hidden="1" customHeight="1">
      <c r="A81" s="966"/>
      <c r="B81" s="967"/>
      <c r="C81" s="967">
        <v>45</v>
      </c>
      <c r="D81" s="967"/>
      <c r="E81" s="1034" t="s">
        <v>603</v>
      </c>
      <c r="F81" s="1034"/>
      <c r="G81" s="1034"/>
      <c r="H81" s="1035"/>
      <c r="I81" s="968"/>
      <c r="J81" s="968"/>
      <c r="K81" s="967"/>
      <c r="L81" s="967"/>
      <c r="M81" s="967"/>
      <c r="N81" s="967"/>
      <c r="O81" s="1007"/>
      <c r="P81" s="1007"/>
      <c r="Q81" s="1008"/>
    </row>
    <row r="82" spans="1:17" hidden="1">
      <c r="A82" s="966"/>
      <c r="B82" s="967"/>
      <c r="C82" s="967">
        <v>46</v>
      </c>
      <c r="D82" s="967"/>
      <c r="E82" s="1034" t="s">
        <v>604</v>
      </c>
      <c r="F82" s="1034"/>
      <c r="G82" s="1034"/>
      <c r="H82" s="1035"/>
      <c r="I82" s="968"/>
      <c r="J82" s="968"/>
      <c r="K82" s="967"/>
      <c r="L82" s="967"/>
      <c r="M82" s="967"/>
      <c r="N82" s="967"/>
      <c r="O82" s="1007"/>
      <c r="P82" s="1007"/>
      <c r="Q82" s="1008"/>
    </row>
    <row r="83" spans="1:17" ht="15.75" hidden="1" customHeight="1">
      <c r="A83" s="966"/>
      <c r="B83" s="967"/>
      <c r="C83" s="967">
        <v>47</v>
      </c>
      <c r="D83" s="967"/>
      <c r="E83" s="1034" t="s">
        <v>1967</v>
      </c>
      <c r="F83" s="1034"/>
      <c r="G83" s="1034"/>
      <c r="H83" s="1035"/>
      <c r="I83" s="968"/>
      <c r="J83" s="968"/>
      <c r="K83" s="967"/>
      <c r="L83" s="967"/>
      <c r="M83" s="967"/>
      <c r="N83" s="967"/>
      <c r="O83" s="1007"/>
      <c r="P83" s="1007"/>
      <c r="Q83" s="1008"/>
    </row>
    <row r="84" spans="1:17" hidden="1">
      <c r="A84" s="966"/>
      <c r="B84" s="967"/>
      <c r="C84" s="967">
        <v>48</v>
      </c>
      <c r="D84" s="967"/>
      <c r="E84" s="1034" t="s">
        <v>605</v>
      </c>
      <c r="F84" s="1034"/>
      <c r="G84" s="1034"/>
      <c r="H84" s="1035"/>
      <c r="I84" s="968"/>
      <c r="J84" s="968"/>
      <c r="K84" s="967"/>
      <c r="L84" s="967"/>
      <c r="M84" s="967"/>
      <c r="N84" s="967"/>
      <c r="O84" s="1007"/>
      <c r="P84" s="1007"/>
      <c r="Q84" s="1008"/>
    </row>
    <row r="85" spans="1:17" hidden="1">
      <c r="A85" s="966"/>
      <c r="B85" s="967"/>
      <c r="C85" s="967">
        <v>49</v>
      </c>
      <c r="D85" s="967"/>
      <c r="E85" s="1034" t="s">
        <v>606</v>
      </c>
      <c r="F85" s="1034"/>
      <c r="G85" s="1034"/>
      <c r="H85" s="1035"/>
      <c r="I85" s="968"/>
      <c r="J85" s="968"/>
      <c r="K85" s="967"/>
      <c r="L85" s="967"/>
      <c r="M85" s="967"/>
      <c r="N85" s="967"/>
      <c r="O85" s="1007"/>
      <c r="P85" s="1007"/>
      <c r="Q85" s="1008"/>
    </row>
    <row r="86" spans="1:17" hidden="1">
      <c r="A86" s="966"/>
      <c r="B86" s="967"/>
      <c r="C86" s="967">
        <v>50</v>
      </c>
      <c r="D86" s="967"/>
      <c r="E86" s="1034" t="s">
        <v>607</v>
      </c>
      <c r="F86" s="1034"/>
      <c r="G86" s="1034"/>
      <c r="H86" s="1035"/>
      <c r="I86" s="968"/>
      <c r="J86" s="968"/>
      <c r="K86" s="967"/>
      <c r="L86" s="967"/>
      <c r="M86" s="967"/>
      <c r="N86" s="967"/>
      <c r="O86" s="1007"/>
      <c r="P86" s="1007"/>
      <c r="Q86" s="1008"/>
    </row>
    <row r="87" spans="1:17" hidden="1">
      <c r="A87" s="966"/>
      <c r="B87" s="967"/>
      <c r="C87" s="967">
        <v>51</v>
      </c>
      <c r="D87" s="967"/>
      <c r="E87" s="968"/>
      <c r="F87" s="968"/>
      <c r="G87" s="1034"/>
      <c r="H87" s="1035"/>
      <c r="I87" s="968"/>
      <c r="J87" s="968"/>
      <c r="K87" s="967"/>
      <c r="L87" s="967"/>
      <c r="M87" s="967"/>
      <c r="N87" s="967"/>
      <c r="O87" s="1007"/>
      <c r="P87" s="1007"/>
      <c r="Q87" s="1008"/>
    </row>
    <row r="88" spans="1:17" hidden="1">
      <c r="A88" s="966"/>
      <c r="B88" s="967"/>
      <c r="C88" s="967">
        <v>52</v>
      </c>
      <c r="D88" s="967"/>
      <c r="E88" s="968"/>
      <c r="F88" s="968"/>
      <c r="G88" s="1034"/>
      <c r="H88" s="1035"/>
      <c r="I88" s="968"/>
      <c r="J88" s="968"/>
      <c r="K88" s="967"/>
      <c r="L88" s="967"/>
      <c r="M88" s="967"/>
      <c r="N88" s="967"/>
      <c r="O88" s="1007"/>
      <c r="P88" s="1007"/>
      <c r="Q88" s="1008"/>
    </row>
    <row r="89" spans="1:17" hidden="1">
      <c r="A89" s="966"/>
      <c r="B89" s="967"/>
      <c r="C89" s="967">
        <v>53</v>
      </c>
      <c r="D89" s="967"/>
      <c r="E89" s="1684"/>
      <c r="F89" s="1684"/>
      <c r="G89" s="1684"/>
      <c r="H89" s="1035"/>
      <c r="I89" s="968"/>
      <c r="J89" s="968"/>
      <c r="K89" s="967"/>
      <c r="L89" s="967"/>
      <c r="M89" s="967"/>
      <c r="N89" s="967"/>
      <c r="O89" s="1007"/>
      <c r="P89" s="1007"/>
      <c r="Q89" s="1008"/>
    </row>
    <row r="90" spans="1:17" hidden="1">
      <c r="A90" s="966"/>
      <c r="B90" s="967"/>
      <c r="C90" s="967">
        <v>54</v>
      </c>
      <c r="D90" s="967"/>
      <c r="E90" s="968"/>
      <c r="F90" s="968"/>
      <c r="G90" s="968"/>
      <c r="H90" s="1035"/>
      <c r="I90" s="968"/>
      <c r="J90" s="968"/>
      <c r="K90" s="967"/>
      <c r="L90" s="967"/>
      <c r="M90" s="967"/>
      <c r="N90" s="967"/>
      <c r="O90" s="1007"/>
      <c r="P90" s="1007"/>
      <c r="Q90" s="1008"/>
    </row>
    <row r="91" spans="1:17" hidden="1">
      <c r="A91" s="966"/>
      <c r="B91" s="967"/>
      <c r="C91" s="967">
        <v>55</v>
      </c>
      <c r="D91" s="967"/>
      <c r="E91" s="968"/>
      <c r="F91" s="968"/>
      <c r="G91" s="968"/>
      <c r="H91" s="1035"/>
      <c r="I91" s="968"/>
      <c r="J91" s="968"/>
      <c r="K91" s="967"/>
      <c r="L91" s="967"/>
      <c r="M91" s="967"/>
      <c r="N91" s="967"/>
      <c r="O91" s="1007"/>
      <c r="P91" s="1007"/>
      <c r="Q91" s="1008"/>
    </row>
    <row r="92" spans="1:17" hidden="1">
      <c r="A92" s="966"/>
      <c r="B92" s="967"/>
      <c r="C92" s="967">
        <v>56</v>
      </c>
      <c r="D92" s="967"/>
      <c r="E92" s="968"/>
      <c r="F92" s="968"/>
      <c r="G92" s="968"/>
      <c r="H92" s="1035"/>
      <c r="I92" s="968"/>
      <c r="J92" s="968"/>
      <c r="K92" s="967"/>
      <c r="L92" s="967"/>
      <c r="M92" s="967"/>
      <c r="N92" s="967"/>
      <c r="O92" s="1007"/>
      <c r="P92" s="1007"/>
      <c r="Q92" s="1008"/>
    </row>
    <row r="93" spans="1:17" hidden="1">
      <c r="A93" s="966"/>
      <c r="B93" s="967"/>
      <c r="C93" s="967">
        <v>57</v>
      </c>
      <c r="D93" s="967"/>
      <c r="E93" s="968"/>
      <c r="F93" s="968"/>
      <c r="G93" s="968"/>
      <c r="H93" s="1035"/>
      <c r="I93" s="968"/>
      <c r="J93" s="968"/>
      <c r="K93" s="967"/>
      <c r="L93" s="967"/>
      <c r="M93" s="967"/>
      <c r="N93" s="967"/>
      <c r="O93" s="1007"/>
      <c r="P93" s="1007"/>
      <c r="Q93" s="1008"/>
    </row>
    <row r="94" spans="1:17" hidden="1">
      <c r="A94" s="966"/>
      <c r="B94" s="967"/>
      <c r="C94" s="967">
        <v>58</v>
      </c>
      <c r="D94" s="967"/>
      <c r="E94" s="968"/>
      <c r="F94" s="968"/>
      <c r="G94" s="968"/>
      <c r="H94" s="1035"/>
      <c r="I94" s="968"/>
      <c r="J94" s="968"/>
      <c r="K94" s="967"/>
      <c r="L94" s="967"/>
      <c r="M94" s="967"/>
      <c r="N94" s="967"/>
      <c r="O94" s="1007"/>
      <c r="P94" s="1007"/>
      <c r="Q94" s="1008"/>
    </row>
    <row r="95" spans="1:17" hidden="1">
      <c r="A95" s="966"/>
      <c r="B95" s="967"/>
      <c r="C95" s="967">
        <v>59</v>
      </c>
      <c r="D95" s="967"/>
      <c r="E95" s="1038"/>
      <c r="F95" s="1038"/>
      <c r="G95" s="1039"/>
      <c r="H95" s="1039"/>
      <c r="I95" s="968"/>
      <c r="J95" s="968"/>
      <c r="K95" s="967"/>
      <c r="L95" s="967"/>
      <c r="M95" s="967"/>
      <c r="N95" s="967"/>
      <c r="O95" s="1007"/>
      <c r="P95" s="1007"/>
      <c r="Q95" s="1008"/>
    </row>
    <row r="96" spans="1:17" hidden="1">
      <c r="A96" s="966"/>
      <c r="B96" s="967"/>
      <c r="C96" s="967">
        <v>60</v>
      </c>
      <c r="D96" s="967"/>
      <c r="E96" s="968"/>
      <c r="F96" s="968"/>
      <c r="G96" s="968"/>
      <c r="H96" s="968"/>
      <c r="I96" s="968"/>
      <c r="J96" s="968"/>
      <c r="K96" s="967"/>
      <c r="L96" s="967"/>
      <c r="M96" s="967"/>
      <c r="N96" s="967"/>
      <c r="O96" s="1007"/>
      <c r="P96" s="1007"/>
      <c r="Q96" s="1008"/>
    </row>
    <row r="97" spans="1:17" hidden="1">
      <c r="A97" s="966"/>
      <c r="B97" s="967"/>
      <c r="C97" s="967">
        <v>61</v>
      </c>
      <c r="D97" s="967"/>
      <c r="E97" s="968"/>
      <c r="F97" s="968"/>
      <c r="G97" s="968"/>
      <c r="H97" s="968"/>
      <c r="I97" s="968"/>
      <c r="J97" s="968"/>
      <c r="K97" s="967"/>
      <c r="L97" s="967"/>
      <c r="M97" s="967"/>
      <c r="N97" s="967"/>
      <c r="O97" s="1007"/>
      <c r="P97" s="1007"/>
      <c r="Q97" s="1008"/>
    </row>
    <row r="98" spans="1:17" hidden="1">
      <c r="A98" s="966"/>
      <c r="B98" s="967"/>
      <c r="C98" s="967">
        <v>62</v>
      </c>
      <c r="D98" s="967"/>
      <c r="E98" s="968"/>
      <c r="F98" s="968"/>
      <c r="G98" s="968"/>
      <c r="H98" s="968"/>
      <c r="I98" s="968"/>
      <c r="J98" s="968"/>
      <c r="K98" s="967"/>
      <c r="L98" s="967"/>
      <c r="M98" s="967"/>
      <c r="N98" s="967"/>
      <c r="O98" s="1007"/>
      <c r="P98" s="1007"/>
      <c r="Q98" s="1008"/>
    </row>
    <row r="99" spans="1:17" hidden="1">
      <c r="A99" s="966"/>
      <c r="B99" s="967"/>
      <c r="C99" s="967">
        <v>63</v>
      </c>
      <c r="D99" s="967"/>
      <c r="E99" s="968"/>
      <c r="F99" s="968"/>
      <c r="G99" s="968"/>
      <c r="H99" s="968"/>
      <c r="I99" s="968"/>
      <c r="J99" s="968"/>
      <c r="K99" s="967"/>
      <c r="L99" s="967"/>
      <c r="M99" s="967"/>
      <c r="N99" s="967"/>
      <c r="O99" s="1007"/>
      <c r="P99" s="1007"/>
      <c r="Q99" s="1008"/>
    </row>
    <row r="100" spans="1:17" hidden="1">
      <c r="A100" s="966"/>
      <c r="B100" s="967"/>
      <c r="C100" s="967">
        <v>64</v>
      </c>
      <c r="D100" s="967"/>
      <c r="E100" s="968"/>
      <c r="F100" s="968"/>
      <c r="G100" s="968"/>
      <c r="H100" s="968"/>
      <c r="I100" s="968"/>
      <c r="J100" s="968"/>
      <c r="K100" s="967"/>
      <c r="L100" s="967"/>
      <c r="M100" s="967"/>
      <c r="N100" s="967"/>
      <c r="O100" s="1007"/>
      <c r="P100" s="1007"/>
      <c r="Q100" s="1008"/>
    </row>
    <row r="101" spans="1:17" hidden="1">
      <c r="A101" s="966"/>
      <c r="B101" s="967"/>
      <c r="C101" s="967">
        <v>65</v>
      </c>
      <c r="D101" s="967"/>
      <c r="E101" s="968"/>
      <c r="F101" s="968"/>
      <c r="G101" s="968"/>
      <c r="H101" s="968"/>
      <c r="I101" s="968"/>
      <c r="J101" s="968"/>
      <c r="K101" s="967"/>
      <c r="L101" s="967"/>
      <c r="M101" s="967"/>
      <c r="N101" s="967"/>
      <c r="O101" s="1007"/>
      <c r="P101" s="1007"/>
      <c r="Q101" s="1008"/>
    </row>
    <row r="102" spans="1:17" hidden="1">
      <c r="A102" s="966"/>
      <c r="B102" s="967"/>
      <c r="C102" s="967">
        <v>66</v>
      </c>
      <c r="D102" s="967"/>
      <c r="E102" s="968"/>
      <c r="F102" s="968"/>
      <c r="G102" s="968"/>
      <c r="H102" s="968"/>
      <c r="I102" s="968"/>
      <c r="J102" s="968"/>
      <c r="K102" s="967"/>
      <c r="L102" s="967"/>
      <c r="M102" s="967"/>
      <c r="N102" s="967"/>
      <c r="O102" s="1007"/>
      <c r="P102" s="1007"/>
      <c r="Q102" s="1008"/>
    </row>
    <row r="103" spans="1:17" hidden="1">
      <c r="A103" s="966"/>
      <c r="B103" s="967"/>
      <c r="C103" s="967">
        <v>67</v>
      </c>
      <c r="D103" s="967"/>
      <c r="E103" s="968"/>
      <c r="F103" s="968"/>
      <c r="G103" s="968"/>
      <c r="H103" s="968"/>
      <c r="I103" s="968"/>
      <c r="J103" s="968"/>
      <c r="K103" s="967"/>
      <c r="L103" s="967"/>
      <c r="M103" s="967"/>
      <c r="N103" s="967"/>
      <c r="O103" s="1007"/>
      <c r="P103" s="1007"/>
      <c r="Q103" s="1008"/>
    </row>
    <row r="104" spans="1:17" hidden="1">
      <c r="A104" s="966"/>
      <c r="B104" s="967"/>
      <c r="C104" s="967">
        <v>68</v>
      </c>
      <c r="D104" s="967"/>
      <c r="E104" s="968"/>
      <c r="F104" s="968"/>
      <c r="G104" s="968"/>
      <c r="H104" s="968"/>
      <c r="I104" s="968"/>
      <c r="J104" s="968"/>
      <c r="K104" s="967"/>
      <c r="L104" s="967"/>
      <c r="M104" s="967"/>
      <c r="N104" s="967"/>
      <c r="O104" s="1007"/>
      <c r="P104" s="1007"/>
      <c r="Q104" s="1008"/>
    </row>
    <row r="105" spans="1:17" hidden="1">
      <c r="A105" s="966"/>
      <c r="B105" s="967"/>
      <c r="C105" s="967">
        <v>69</v>
      </c>
      <c r="D105" s="967"/>
      <c r="E105" s="968"/>
      <c r="F105" s="968"/>
      <c r="G105" s="968"/>
      <c r="H105" s="968"/>
      <c r="I105" s="968"/>
      <c r="J105" s="968"/>
      <c r="K105" s="967"/>
      <c r="L105" s="967"/>
      <c r="M105" s="967"/>
      <c r="N105" s="967"/>
      <c r="O105" s="1007"/>
      <c r="P105" s="1007"/>
      <c r="Q105" s="1008"/>
    </row>
    <row r="106" spans="1:17" hidden="1">
      <c r="A106" s="966"/>
      <c r="B106" s="967"/>
      <c r="C106" s="967">
        <v>70</v>
      </c>
      <c r="D106" s="967"/>
      <c r="E106" s="968"/>
      <c r="F106" s="968"/>
      <c r="G106" s="968"/>
      <c r="H106" s="968"/>
      <c r="I106" s="968"/>
      <c r="J106" s="968"/>
      <c r="K106" s="967"/>
      <c r="L106" s="967"/>
      <c r="M106" s="967"/>
      <c r="N106" s="967"/>
      <c r="O106" s="1007"/>
      <c r="P106" s="1007"/>
      <c r="Q106" s="1008"/>
    </row>
    <row r="107" spans="1:17" hidden="1">
      <c r="A107" s="966"/>
      <c r="B107" s="967"/>
      <c r="C107" s="967">
        <v>71</v>
      </c>
      <c r="D107" s="967"/>
      <c r="E107" s="968"/>
      <c r="F107" s="968"/>
      <c r="G107" s="968"/>
      <c r="H107" s="968"/>
      <c r="I107" s="968"/>
      <c r="J107" s="968"/>
      <c r="K107" s="967"/>
      <c r="L107" s="967"/>
      <c r="M107" s="967"/>
      <c r="N107" s="967"/>
      <c r="O107" s="1007"/>
      <c r="P107" s="1007"/>
      <c r="Q107" s="1008"/>
    </row>
    <row r="108" spans="1:17" hidden="1">
      <c r="A108" s="966"/>
      <c r="B108" s="967"/>
      <c r="C108" s="967">
        <v>72</v>
      </c>
      <c r="D108" s="967"/>
      <c r="E108" s="968"/>
      <c r="F108" s="968"/>
      <c r="G108" s="968"/>
      <c r="H108" s="968"/>
      <c r="I108" s="968"/>
      <c r="J108" s="968"/>
      <c r="K108" s="967"/>
      <c r="L108" s="967"/>
      <c r="M108" s="967"/>
      <c r="N108" s="967"/>
      <c r="O108" s="1007"/>
      <c r="P108" s="1007"/>
      <c r="Q108" s="1008"/>
    </row>
    <row r="109" spans="1:17" hidden="1">
      <c r="A109" s="966"/>
      <c r="B109" s="967"/>
      <c r="C109" s="967">
        <v>73</v>
      </c>
      <c r="D109" s="967"/>
      <c r="E109" s="968"/>
      <c r="F109" s="968"/>
      <c r="G109" s="968"/>
      <c r="H109" s="968"/>
      <c r="I109" s="968"/>
      <c r="J109" s="968"/>
      <c r="K109" s="967"/>
      <c r="L109" s="967"/>
      <c r="M109" s="967"/>
      <c r="N109" s="967"/>
      <c r="O109" s="1007"/>
      <c r="P109" s="1007"/>
      <c r="Q109" s="1008"/>
    </row>
    <row r="110" spans="1:17" hidden="1">
      <c r="A110" s="966"/>
      <c r="B110" s="967"/>
      <c r="C110" s="967">
        <v>74</v>
      </c>
      <c r="D110" s="967"/>
      <c r="E110" s="968"/>
      <c r="F110" s="968"/>
      <c r="G110" s="968"/>
      <c r="H110" s="968"/>
      <c r="I110" s="968"/>
      <c r="J110" s="968"/>
      <c r="K110" s="967"/>
      <c r="L110" s="967"/>
      <c r="M110" s="967"/>
      <c r="N110" s="967"/>
      <c r="O110" s="1007"/>
      <c r="P110" s="1007"/>
      <c r="Q110" s="1008"/>
    </row>
    <row r="111" spans="1:17" hidden="1">
      <c r="A111" s="966"/>
      <c r="B111" s="967"/>
      <c r="C111" s="967">
        <v>75</v>
      </c>
      <c r="D111" s="967"/>
      <c r="E111" s="968"/>
      <c r="F111" s="968"/>
      <c r="G111" s="968"/>
      <c r="H111" s="968"/>
      <c r="I111" s="968"/>
      <c r="J111" s="968"/>
      <c r="K111" s="967"/>
      <c r="L111" s="967"/>
      <c r="M111" s="967"/>
      <c r="N111" s="967"/>
      <c r="O111" s="1007"/>
      <c r="P111" s="1007"/>
      <c r="Q111" s="1008"/>
    </row>
    <row r="112" spans="1:17" hidden="1">
      <c r="A112" s="966"/>
      <c r="B112" s="967"/>
      <c r="C112" s="967">
        <v>76</v>
      </c>
      <c r="D112" s="967"/>
      <c r="E112" s="968"/>
      <c r="F112" s="968"/>
      <c r="G112" s="968"/>
      <c r="H112" s="968"/>
      <c r="I112" s="968"/>
      <c r="J112" s="968"/>
      <c r="K112" s="967"/>
      <c r="L112" s="967"/>
      <c r="M112" s="967"/>
      <c r="N112" s="967"/>
      <c r="O112" s="1007"/>
      <c r="P112" s="1007"/>
      <c r="Q112" s="1008"/>
    </row>
    <row r="113" spans="1:17" hidden="1">
      <c r="A113" s="966"/>
      <c r="B113" s="967"/>
      <c r="C113" s="967">
        <v>77</v>
      </c>
      <c r="D113" s="967"/>
      <c r="E113" s="968"/>
      <c r="F113" s="968"/>
      <c r="G113" s="968"/>
      <c r="H113" s="968"/>
      <c r="I113" s="968"/>
      <c r="J113" s="968"/>
      <c r="K113" s="967"/>
      <c r="L113" s="967"/>
      <c r="M113" s="967"/>
      <c r="N113" s="967"/>
      <c r="O113" s="1007"/>
      <c r="P113" s="1007"/>
      <c r="Q113" s="1008"/>
    </row>
    <row r="114" spans="1:17" hidden="1">
      <c r="A114" s="966"/>
      <c r="B114" s="967"/>
      <c r="C114" s="967">
        <v>78</v>
      </c>
      <c r="D114" s="967"/>
      <c r="E114" s="968"/>
      <c r="F114" s="968"/>
      <c r="G114" s="968"/>
      <c r="H114" s="968"/>
      <c r="I114" s="968"/>
      <c r="J114" s="968"/>
      <c r="K114" s="967"/>
      <c r="L114" s="967"/>
      <c r="M114" s="967"/>
      <c r="N114" s="967"/>
      <c r="O114" s="1007"/>
      <c r="P114" s="1007"/>
      <c r="Q114" s="1008"/>
    </row>
    <row r="115" spans="1:17" hidden="1">
      <c r="A115" s="966"/>
      <c r="B115" s="967"/>
      <c r="C115" s="967">
        <v>79</v>
      </c>
      <c r="D115" s="967"/>
      <c r="E115" s="968"/>
      <c r="F115" s="968"/>
      <c r="G115" s="968"/>
      <c r="H115" s="968"/>
      <c r="I115" s="968"/>
      <c r="J115" s="968"/>
      <c r="K115" s="967"/>
      <c r="L115" s="967"/>
      <c r="M115" s="967"/>
      <c r="N115" s="967"/>
      <c r="O115" s="1007"/>
      <c r="P115" s="1007"/>
      <c r="Q115" s="1008"/>
    </row>
    <row r="116" spans="1:17" hidden="1">
      <c r="A116" s="966"/>
      <c r="B116" s="967"/>
      <c r="C116" s="967">
        <v>80</v>
      </c>
      <c r="D116" s="967"/>
      <c r="E116" s="968"/>
      <c r="F116" s="968"/>
      <c r="G116" s="968"/>
      <c r="H116" s="968"/>
      <c r="I116" s="968"/>
      <c r="J116" s="968"/>
      <c r="K116" s="967"/>
      <c r="L116" s="967"/>
      <c r="M116" s="967"/>
      <c r="N116" s="967"/>
      <c r="O116" s="1007"/>
      <c r="P116" s="1007"/>
      <c r="Q116" s="1008"/>
    </row>
    <row r="117" spans="1:17" hidden="1">
      <c r="A117" s="966"/>
      <c r="B117" s="967"/>
      <c r="C117" s="967">
        <v>81</v>
      </c>
      <c r="D117" s="967"/>
      <c r="E117" s="968"/>
      <c r="F117" s="968"/>
      <c r="G117" s="968"/>
      <c r="H117" s="968"/>
      <c r="I117" s="968"/>
      <c r="J117" s="968"/>
      <c r="K117" s="967"/>
      <c r="L117" s="967"/>
      <c r="M117" s="967"/>
      <c r="N117" s="967"/>
      <c r="O117" s="1007"/>
      <c r="P117" s="1007"/>
      <c r="Q117" s="1008"/>
    </row>
    <row r="118" spans="1:17" hidden="1">
      <c r="A118" s="966"/>
      <c r="B118" s="967"/>
      <c r="C118" s="967">
        <v>82</v>
      </c>
      <c r="D118" s="967"/>
      <c r="E118" s="968"/>
      <c r="F118" s="968"/>
      <c r="G118" s="968"/>
      <c r="H118" s="968"/>
      <c r="I118" s="968"/>
      <c r="J118" s="968"/>
      <c r="K118" s="967"/>
      <c r="L118" s="967"/>
      <c r="M118" s="967"/>
      <c r="N118" s="967"/>
      <c r="O118" s="1007"/>
      <c r="P118" s="1007"/>
      <c r="Q118" s="1008"/>
    </row>
    <row r="119" spans="1:17" hidden="1">
      <c r="A119" s="966"/>
      <c r="B119" s="967"/>
      <c r="C119" s="967">
        <v>83</v>
      </c>
      <c r="D119" s="967"/>
      <c r="E119" s="968"/>
      <c r="F119" s="968"/>
      <c r="G119" s="968"/>
      <c r="H119" s="968"/>
      <c r="I119" s="968"/>
      <c r="J119" s="968"/>
      <c r="K119" s="967"/>
      <c r="L119" s="967"/>
      <c r="M119" s="967"/>
      <c r="N119" s="967"/>
      <c r="O119" s="1007"/>
      <c r="P119" s="1007"/>
      <c r="Q119" s="1008"/>
    </row>
    <row r="120" spans="1:17" hidden="1">
      <c r="A120" s="966"/>
      <c r="B120" s="967"/>
      <c r="C120" s="967">
        <v>84</v>
      </c>
      <c r="D120" s="967"/>
      <c r="E120" s="968"/>
      <c r="F120" s="968"/>
      <c r="G120" s="968"/>
      <c r="H120" s="968"/>
      <c r="I120" s="968"/>
      <c r="J120" s="968"/>
      <c r="K120" s="967"/>
      <c r="L120" s="967"/>
      <c r="M120" s="967"/>
      <c r="N120" s="967"/>
      <c r="O120" s="1007"/>
      <c r="P120" s="1007"/>
      <c r="Q120" s="1008"/>
    </row>
    <row r="121" spans="1:17" hidden="1">
      <c r="A121" s="966"/>
      <c r="B121" s="967"/>
      <c r="C121" s="967">
        <v>85</v>
      </c>
      <c r="D121" s="967"/>
      <c r="E121" s="968"/>
      <c r="F121" s="968"/>
      <c r="G121" s="968"/>
      <c r="H121" s="968"/>
      <c r="I121" s="968"/>
      <c r="J121" s="968"/>
      <c r="K121" s="967"/>
      <c r="L121" s="967"/>
      <c r="M121" s="967"/>
      <c r="N121" s="967"/>
      <c r="O121" s="1007"/>
      <c r="P121" s="1007"/>
      <c r="Q121" s="1008"/>
    </row>
    <row r="122" spans="1:17" hidden="1">
      <c r="A122" s="966"/>
      <c r="B122" s="967"/>
      <c r="C122" s="967">
        <v>86</v>
      </c>
      <c r="D122" s="967"/>
      <c r="E122" s="968"/>
      <c r="F122" s="968"/>
      <c r="G122" s="968"/>
      <c r="H122" s="968"/>
      <c r="I122" s="968"/>
      <c r="J122" s="968"/>
      <c r="K122" s="967"/>
      <c r="L122" s="967"/>
      <c r="M122" s="967"/>
      <c r="N122" s="967"/>
      <c r="O122" s="1007"/>
      <c r="P122" s="1007"/>
      <c r="Q122" s="1008"/>
    </row>
    <row r="123" spans="1:17" hidden="1">
      <c r="A123" s="966"/>
      <c r="B123" s="967"/>
      <c r="C123" s="967">
        <v>87</v>
      </c>
      <c r="D123" s="967"/>
      <c r="E123" s="968"/>
      <c r="F123" s="968"/>
      <c r="G123" s="968"/>
      <c r="H123" s="968"/>
      <c r="I123" s="968"/>
      <c r="J123" s="968"/>
      <c r="K123" s="967"/>
      <c r="L123" s="967"/>
      <c r="M123" s="967"/>
      <c r="N123" s="967"/>
      <c r="O123" s="1007"/>
      <c r="P123" s="1007"/>
      <c r="Q123" s="1008"/>
    </row>
    <row r="124" spans="1:17" hidden="1">
      <c r="A124" s="966"/>
      <c r="B124" s="967"/>
      <c r="C124" s="967">
        <v>88</v>
      </c>
      <c r="D124" s="967"/>
      <c r="E124" s="968"/>
      <c r="F124" s="968"/>
      <c r="G124" s="968"/>
      <c r="H124" s="968"/>
      <c r="I124" s="968"/>
      <c r="J124" s="968"/>
      <c r="K124" s="967"/>
      <c r="L124" s="967"/>
      <c r="M124" s="967"/>
      <c r="N124" s="967"/>
      <c r="O124" s="1007"/>
      <c r="P124" s="1007"/>
      <c r="Q124" s="1008"/>
    </row>
    <row r="125" spans="1:17" hidden="1">
      <c r="A125" s="966"/>
      <c r="B125" s="967"/>
      <c r="C125" s="967">
        <v>89</v>
      </c>
      <c r="D125" s="967"/>
      <c r="E125" s="968"/>
      <c r="F125" s="968"/>
      <c r="G125" s="968"/>
      <c r="H125" s="968"/>
      <c r="I125" s="968"/>
      <c r="J125" s="968"/>
      <c r="K125" s="967"/>
      <c r="L125" s="967"/>
      <c r="M125" s="967"/>
      <c r="N125" s="967"/>
      <c r="O125" s="1007"/>
      <c r="P125" s="1007"/>
      <c r="Q125" s="1008"/>
    </row>
    <row r="126" spans="1:17" hidden="1">
      <c r="A126" s="966"/>
      <c r="B126" s="967"/>
      <c r="C126" s="967">
        <v>90</v>
      </c>
      <c r="D126" s="967"/>
      <c r="E126" s="968"/>
      <c r="F126" s="968"/>
      <c r="G126" s="968"/>
      <c r="H126" s="968"/>
      <c r="I126" s="968"/>
      <c r="J126" s="968"/>
      <c r="K126" s="967"/>
      <c r="L126" s="967"/>
      <c r="M126" s="967"/>
      <c r="N126" s="967"/>
      <c r="O126" s="1007"/>
      <c r="P126" s="1007"/>
      <c r="Q126" s="1008"/>
    </row>
    <row r="127" spans="1:17" hidden="1">
      <c r="A127" s="966"/>
      <c r="B127" s="967"/>
      <c r="C127" s="967">
        <v>91</v>
      </c>
      <c r="D127" s="967"/>
      <c r="E127" s="968"/>
      <c r="F127" s="968"/>
      <c r="G127" s="968"/>
      <c r="H127" s="968"/>
      <c r="I127" s="968"/>
      <c r="J127" s="968"/>
      <c r="K127" s="967"/>
      <c r="L127" s="967"/>
      <c r="M127" s="967"/>
      <c r="N127" s="967"/>
      <c r="O127" s="1007"/>
      <c r="P127" s="1007"/>
      <c r="Q127" s="1008"/>
    </row>
    <row r="128" spans="1:17" hidden="1">
      <c r="A128" s="966"/>
      <c r="B128" s="967"/>
      <c r="C128" s="967">
        <v>92</v>
      </c>
      <c r="D128" s="967"/>
      <c r="E128" s="968"/>
      <c r="F128" s="968"/>
      <c r="G128" s="968"/>
      <c r="H128" s="968"/>
      <c r="I128" s="968"/>
      <c r="J128" s="968"/>
      <c r="K128" s="967"/>
      <c r="L128" s="967"/>
      <c r="M128" s="967"/>
      <c r="N128" s="967"/>
      <c r="O128" s="1007"/>
      <c r="P128" s="1007"/>
      <c r="Q128" s="1008"/>
    </row>
    <row r="129" spans="1:17" hidden="1">
      <c r="A129" s="966"/>
      <c r="B129" s="967"/>
      <c r="C129" s="967">
        <v>93</v>
      </c>
      <c r="D129" s="967"/>
      <c r="E129" s="968"/>
      <c r="F129" s="968"/>
      <c r="G129" s="968"/>
      <c r="H129" s="968"/>
      <c r="I129" s="968"/>
      <c r="J129" s="968"/>
      <c r="K129" s="967"/>
      <c r="L129" s="967"/>
      <c r="M129" s="967"/>
      <c r="N129" s="967"/>
      <c r="O129" s="1007"/>
      <c r="P129" s="1007"/>
      <c r="Q129" s="1008"/>
    </row>
    <row r="130" spans="1:17" hidden="1">
      <c r="A130" s="966"/>
      <c r="B130" s="967"/>
      <c r="C130" s="967">
        <v>94</v>
      </c>
      <c r="D130" s="967"/>
      <c r="E130" s="968"/>
      <c r="F130" s="968"/>
      <c r="G130" s="968"/>
      <c r="H130" s="968"/>
      <c r="I130" s="968"/>
      <c r="J130" s="968"/>
      <c r="K130" s="967"/>
      <c r="L130" s="967"/>
      <c r="M130" s="967"/>
      <c r="N130" s="967"/>
      <c r="O130" s="1007"/>
      <c r="P130" s="1007"/>
      <c r="Q130" s="1008"/>
    </row>
    <row r="131" spans="1:17" hidden="1">
      <c r="A131" s="966"/>
      <c r="B131" s="967"/>
      <c r="C131" s="967">
        <v>95</v>
      </c>
      <c r="D131" s="967"/>
      <c r="E131" s="968"/>
      <c r="F131" s="968"/>
      <c r="G131" s="968"/>
      <c r="H131" s="968"/>
      <c r="I131" s="968"/>
      <c r="J131" s="968"/>
      <c r="K131" s="967"/>
      <c r="L131" s="967"/>
      <c r="M131" s="967"/>
      <c r="N131" s="967"/>
      <c r="O131" s="1007"/>
      <c r="P131" s="1007"/>
      <c r="Q131" s="1008"/>
    </row>
    <row r="132" spans="1:17" hidden="1">
      <c r="A132" s="966"/>
      <c r="B132" s="967"/>
      <c r="C132" s="967">
        <v>96</v>
      </c>
      <c r="D132" s="967"/>
      <c r="E132" s="968"/>
      <c r="F132" s="968"/>
      <c r="G132" s="968"/>
      <c r="H132" s="968"/>
      <c r="I132" s="968"/>
      <c r="J132" s="968"/>
      <c r="K132" s="967"/>
      <c r="L132" s="967"/>
      <c r="M132" s="967"/>
      <c r="N132" s="967"/>
      <c r="O132" s="1007"/>
      <c r="P132" s="1007"/>
      <c r="Q132" s="1008"/>
    </row>
    <row r="133" spans="1:17" hidden="1">
      <c r="A133" s="966"/>
      <c r="B133" s="967"/>
      <c r="C133" s="967">
        <v>97</v>
      </c>
      <c r="D133" s="967"/>
      <c r="E133" s="968"/>
      <c r="F133" s="968"/>
      <c r="G133" s="968"/>
      <c r="H133" s="968"/>
      <c r="I133" s="968"/>
      <c r="J133" s="968"/>
      <c r="K133" s="967"/>
      <c r="L133" s="967"/>
      <c r="M133" s="967"/>
      <c r="N133" s="967"/>
      <c r="O133" s="1007"/>
      <c r="P133" s="1007"/>
      <c r="Q133" s="1008"/>
    </row>
    <row r="134" spans="1:17" hidden="1">
      <c r="A134" s="966"/>
      <c r="B134" s="967"/>
      <c r="C134" s="967">
        <v>98</v>
      </c>
      <c r="D134" s="967"/>
      <c r="E134" s="968"/>
      <c r="F134" s="968"/>
      <c r="G134" s="968"/>
      <c r="H134" s="968"/>
      <c r="I134" s="968"/>
      <c r="J134" s="968"/>
      <c r="K134" s="967"/>
      <c r="L134" s="967"/>
      <c r="M134" s="967"/>
      <c r="N134" s="967"/>
      <c r="O134" s="1007"/>
      <c r="P134" s="1007"/>
      <c r="Q134" s="1008"/>
    </row>
    <row r="135" spans="1:17" hidden="1">
      <c r="A135" s="966"/>
      <c r="B135" s="967"/>
      <c r="C135" s="967">
        <v>99</v>
      </c>
      <c r="D135" s="967"/>
      <c r="E135" s="968"/>
      <c r="F135" s="968"/>
      <c r="G135" s="968"/>
      <c r="H135" s="968"/>
      <c r="I135" s="968"/>
      <c r="J135" s="968"/>
      <c r="K135" s="967"/>
      <c r="L135" s="967"/>
      <c r="M135" s="967"/>
      <c r="N135" s="967"/>
      <c r="O135" s="1007"/>
      <c r="P135" s="1007"/>
      <c r="Q135" s="1008"/>
    </row>
    <row r="136" spans="1:17" hidden="1">
      <c r="A136" s="966"/>
      <c r="B136" s="967"/>
      <c r="C136" s="967">
        <v>100</v>
      </c>
      <c r="D136" s="967"/>
      <c r="E136" s="968"/>
      <c r="F136" s="968"/>
      <c r="G136" s="968"/>
      <c r="H136" s="968"/>
      <c r="I136" s="968"/>
      <c r="J136" s="968"/>
      <c r="K136" s="967"/>
      <c r="L136" s="967"/>
      <c r="M136" s="967"/>
      <c r="N136" s="967"/>
      <c r="O136" s="1007"/>
      <c r="P136" s="1007"/>
      <c r="Q136" s="1008"/>
    </row>
    <row r="137" spans="1:17" hidden="1">
      <c r="A137" s="966"/>
      <c r="B137" s="967"/>
      <c r="C137" s="967">
        <v>101</v>
      </c>
      <c r="D137" s="967"/>
      <c r="E137" s="968"/>
      <c r="F137" s="968"/>
      <c r="G137" s="968"/>
      <c r="H137" s="968"/>
      <c r="I137" s="968"/>
      <c r="J137" s="968"/>
      <c r="K137" s="967"/>
      <c r="L137" s="967"/>
      <c r="M137" s="967"/>
      <c r="N137" s="967"/>
      <c r="O137" s="1007"/>
      <c r="P137" s="1007"/>
      <c r="Q137" s="1008"/>
    </row>
    <row r="138" spans="1:17" hidden="1">
      <c r="A138" s="966"/>
      <c r="B138" s="967"/>
      <c r="C138" s="967">
        <v>102</v>
      </c>
      <c r="D138" s="967"/>
      <c r="E138" s="968"/>
      <c r="F138" s="968"/>
      <c r="G138" s="968"/>
      <c r="H138" s="968"/>
      <c r="I138" s="968"/>
      <c r="J138" s="968"/>
      <c r="K138" s="967"/>
      <c r="L138" s="967"/>
      <c r="M138" s="967"/>
      <c r="N138" s="967"/>
      <c r="O138" s="1007"/>
      <c r="P138" s="1007"/>
      <c r="Q138" s="1008"/>
    </row>
    <row r="139" spans="1:17" hidden="1">
      <c r="A139" s="966"/>
      <c r="B139" s="967"/>
      <c r="C139" s="967">
        <v>103</v>
      </c>
      <c r="D139" s="967"/>
      <c r="E139" s="968"/>
      <c r="F139" s="968"/>
      <c r="G139" s="968"/>
      <c r="H139" s="968"/>
      <c r="I139" s="968"/>
      <c r="J139" s="968"/>
      <c r="K139" s="967"/>
      <c r="L139" s="967"/>
      <c r="M139" s="967"/>
      <c r="N139" s="967"/>
      <c r="O139" s="1007"/>
      <c r="P139" s="1007"/>
      <c r="Q139" s="1008"/>
    </row>
    <row r="140" spans="1:17" hidden="1">
      <c r="A140" s="966"/>
      <c r="B140" s="967"/>
      <c r="C140" s="967">
        <v>104</v>
      </c>
      <c r="D140" s="967"/>
      <c r="E140" s="968"/>
      <c r="F140" s="968"/>
      <c r="G140" s="968"/>
      <c r="H140" s="968"/>
      <c r="I140" s="968"/>
      <c r="J140" s="968"/>
      <c r="K140" s="967"/>
      <c r="L140" s="967"/>
      <c r="M140" s="967"/>
      <c r="N140" s="967"/>
      <c r="O140" s="1007"/>
      <c r="P140" s="1007"/>
      <c r="Q140" s="1008"/>
    </row>
    <row r="141" spans="1:17" hidden="1">
      <c r="A141" s="966"/>
      <c r="B141" s="967"/>
      <c r="C141" s="967">
        <v>105</v>
      </c>
      <c r="D141" s="967"/>
      <c r="E141" s="968"/>
      <c r="F141" s="968"/>
      <c r="G141" s="968"/>
      <c r="H141" s="968"/>
      <c r="I141" s="968"/>
      <c r="J141" s="968"/>
      <c r="K141" s="967"/>
      <c r="L141" s="967"/>
      <c r="M141" s="967"/>
      <c r="N141" s="967"/>
      <c r="O141" s="1007"/>
      <c r="P141" s="1007"/>
      <c r="Q141" s="1008"/>
    </row>
    <row r="142" spans="1:17" hidden="1">
      <c r="A142" s="966"/>
      <c r="B142" s="967"/>
      <c r="C142" s="967">
        <v>106</v>
      </c>
      <c r="D142" s="967"/>
      <c r="E142" s="968"/>
      <c r="F142" s="968"/>
      <c r="G142" s="968"/>
      <c r="H142" s="968"/>
      <c r="I142" s="968"/>
      <c r="J142" s="968"/>
      <c r="K142" s="967"/>
      <c r="L142" s="967"/>
      <c r="M142" s="967"/>
      <c r="N142" s="967"/>
      <c r="O142" s="1007"/>
      <c r="P142" s="1007"/>
      <c r="Q142" s="1008"/>
    </row>
    <row r="143" spans="1:17" hidden="1">
      <c r="A143" s="966"/>
      <c r="B143" s="967"/>
      <c r="C143" s="967">
        <v>107</v>
      </c>
      <c r="D143" s="967"/>
      <c r="E143" s="968"/>
      <c r="F143" s="968"/>
      <c r="G143" s="968"/>
      <c r="H143" s="968"/>
      <c r="I143" s="968"/>
      <c r="J143" s="968"/>
      <c r="K143" s="967"/>
      <c r="L143" s="967"/>
      <c r="M143" s="967"/>
      <c r="N143" s="967"/>
      <c r="O143" s="1007"/>
      <c r="P143" s="1007"/>
      <c r="Q143" s="1008"/>
    </row>
    <row r="144" spans="1:17" hidden="1">
      <c r="A144" s="966"/>
      <c r="B144" s="967"/>
      <c r="C144" s="967">
        <v>108</v>
      </c>
      <c r="D144" s="967"/>
      <c r="E144" s="968"/>
      <c r="F144" s="968"/>
      <c r="G144" s="968"/>
      <c r="H144" s="968"/>
      <c r="I144" s="968"/>
      <c r="J144" s="968"/>
      <c r="K144" s="967"/>
      <c r="L144" s="967"/>
      <c r="M144" s="967"/>
      <c r="N144" s="967"/>
      <c r="O144" s="1007"/>
      <c r="P144" s="1007"/>
      <c r="Q144" s="1008"/>
    </row>
    <row r="145" spans="1:17" hidden="1">
      <c r="A145" s="966"/>
      <c r="B145" s="967"/>
      <c r="C145" s="967">
        <v>109</v>
      </c>
      <c r="D145" s="967"/>
      <c r="E145" s="968"/>
      <c r="F145" s="968"/>
      <c r="G145" s="968"/>
      <c r="H145" s="968"/>
      <c r="I145" s="968"/>
      <c r="J145" s="968"/>
      <c r="K145" s="967"/>
      <c r="L145" s="967"/>
      <c r="M145" s="967"/>
      <c r="N145" s="967"/>
      <c r="O145" s="1007"/>
      <c r="P145" s="1007"/>
      <c r="Q145" s="1008"/>
    </row>
    <row r="146" spans="1:17" hidden="1">
      <c r="A146" s="966"/>
      <c r="B146" s="967"/>
      <c r="C146" s="967">
        <v>110</v>
      </c>
      <c r="D146" s="967"/>
      <c r="E146" s="968"/>
      <c r="F146" s="968"/>
      <c r="G146" s="968"/>
      <c r="H146" s="968"/>
      <c r="I146" s="968"/>
      <c r="J146" s="968"/>
      <c r="K146" s="967"/>
      <c r="L146" s="967"/>
      <c r="M146" s="967"/>
      <c r="N146" s="967"/>
      <c r="O146" s="1007"/>
      <c r="P146" s="1007"/>
      <c r="Q146" s="1008"/>
    </row>
    <row r="147" spans="1:17" hidden="1">
      <c r="A147" s="966"/>
      <c r="B147" s="967"/>
      <c r="C147" s="967">
        <v>111</v>
      </c>
      <c r="D147" s="967"/>
      <c r="E147" s="968"/>
      <c r="F147" s="968"/>
      <c r="G147" s="968"/>
      <c r="H147" s="968"/>
      <c r="I147" s="968"/>
      <c r="J147" s="968"/>
      <c r="K147" s="967"/>
      <c r="L147" s="967"/>
      <c r="M147" s="967"/>
      <c r="N147" s="967"/>
      <c r="O147" s="1007"/>
      <c r="P147" s="1007"/>
      <c r="Q147" s="1008"/>
    </row>
    <row r="148" spans="1:17" hidden="1">
      <c r="A148" s="966"/>
      <c r="B148" s="967"/>
      <c r="C148" s="967">
        <v>112</v>
      </c>
      <c r="D148" s="967"/>
      <c r="E148" s="968"/>
      <c r="F148" s="968"/>
      <c r="G148" s="968"/>
      <c r="H148" s="968"/>
      <c r="I148" s="968"/>
      <c r="J148" s="968"/>
      <c r="K148" s="967"/>
      <c r="L148" s="967"/>
      <c r="M148" s="967"/>
      <c r="N148" s="967"/>
      <c r="O148" s="1007"/>
      <c r="P148" s="1007"/>
      <c r="Q148" s="1008"/>
    </row>
    <row r="149" spans="1:17" hidden="1">
      <c r="A149" s="966"/>
      <c r="B149" s="967"/>
      <c r="C149" s="967">
        <v>113</v>
      </c>
      <c r="D149" s="967"/>
      <c r="E149" s="968"/>
      <c r="F149" s="968"/>
      <c r="G149" s="968"/>
      <c r="H149" s="968"/>
      <c r="I149" s="968"/>
      <c r="J149" s="968"/>
      <c r="K149" s="967"/>
      <c r="L149" s="967"/>
      <c r="M149" s="967"/>
      <c r="N149" s="967"/>
      <c r="O149" s="1007"/>
      <c r="P149" s="1007"/>
      <c r="Q149" s="1008"/>
    </row>
    <row r="150" spans="1:17" hidden="1">
      <c r="A150" s="966"/>
      <c r="B150" s="967"/>
      <c r="C150" s="967">
        <v>114</v>
      </c>
      <c r="D150" s="967"/>
      <c r="E150" s="968"/>
      <c r="F150" s="968"/>
      <c r="G150" s="968"/>
      <c r="H150" s="968"/>
      <c r="I150" s="968"/>
      <c r="J150" s="968"/>
      <c r="K150" s="967"/>
      <c r="L150" s="967"/>
      <c r="M150" s="967"/>
      <c r="N150" s="967"/>
      <c r="O150" s="1007"/>
      <c r="P150" s="1007"/>
      <c r="Q150" s="1008"/>
    </row>
    <row r="151" spans="1:17" hidden="1">
      <c r="A151" s="966"/>
      <c r="B151" s="967"/>
      <c r="C151" s="967">
        <v>115</v>
      </c>
      <c r="D151" s="967"/>
      <c r="E151" s="968"/>
      <c r="F151" s="968"/>
      <c r="G151" s="968"/>
      <c r="H151" s="968"/>
      <c r="I151" s="968"/>
      <c r="J151" s="968"/>
      <c r="K151" s="967"/>
      <c r="L151" s="967"/>
      <c r="M151" s="967"/>
      <c r="N151" s="967"/>
      <c r="O151" s="1007"/>
      <c r="P151" s="1007"/>
      <c r="Q151" s="1008"/>
    </row>
    <row r="152" spans="1:17" hidden="1">
      <c r="A152" s="966"/>
      <c r="B152" s="967"/>
      <c r="C152" s="967">
        <v>116</v>
      </c>
      <c r="D152" s="967"/>
      <c r="E152" s="968"/>
      <c r="F152" s="968"/>
      <c r="G152" s="968"/>
      <c r="H152" s="968"/>
      <c r="I152" s="968"/>
      <c r="J152" s="968"/>
      <c r="K152" s="967"/>
      <c r="L152" s="967"/>
      <c r="M152" s="967"/>
      <c r="N152" s="967"/>
      <c r="O152" s="1007"/>
      <c r="P152" s="1007"/>
      <c r="Q152" s="1008"/>
    </row>
    <row r="153" spans="1:17" hidden="1">
      <c r="A153" s="966"/>
      <c r="B153" s="967"/>
      <c r="C153" s="967">
        <v>117</v>
      </c>
      <c r="D153" s="967"/>
      <c r="E153" s="968"/>
      <c r="F153" s="968"/>
      <c r="G153" s="968"/>
      <c r="H153" s="968"/>
      <c r="I153" s="968"/>
      <c r="J153" s="968"/>
      <c r="K153" s="967"/>
      <c r="L153" s="967"/>
      <c r="M153" s="967"/>
      <c r="N153" s="967"/>
      <c r="O153" s="1007"/>
      <c r="P153" s="1007"/>
      <c r="Q153" s="1008"/>
    </row>
    <row r="154" spans="1:17" hidden="1">
      <c r="A154" s="966"/>
      <c r="B154" s="967"/>
      <c r="C154" s="967">
        <v>118</v>
      </c>
      <c r="D154" s="967"/>
      <c r="E154" s="968"/>
      <c r="F154" s="968"/>
      <c r="G154" s="968"/>
      <c r="H154" s="968"/>
      <c r="I154" s="968"/>
      <c r="J154" s="968"/>
      <c r="K154" s="967"/>
      <c r="L154" s="967"/>
      <c r="M154" s="967"/>
      <c r="N154" s="967"/>
      <c r="O154" s="1007"/>
      <c r="P154" s="1007"/>
      <c r="Q154" s="1008"/>
    </row>
    <row r="155" spans="1:17" hidden="1">
      <c r="A155" s="966"/>
      <c r="B155" s="967"/>
      <c r="C155" s="967">
        <v>119</v>
      </c>
      <c r="D155" s="967"/>
      <c r="E155" s="968"/>
      <c r="F155" s="968"/>
      <c r="G155" s="968"/>
      <c r="H155" s="968"/>
      <c r="I155" s="968"/>
      <c r="J155" s="968"/>
      <c r="K155" s="967"/>
      <c r="L155" s="967"/>
      <c r="M155" s="967"/>
      <c r="N155" s="967"/>
      <c r="O155" s="1007"/>
      <c r="P155" s="1007"/>
      <c r="Q155" s="1008"/>
    </row>
    <row r="156" spans="1:17" hidden="1">
      <c r="A156" s="966"/>
      <c r="B156" s="967"/>
      <c r="C156" s="967">
        <v>120</v>
      </c>
      <c r="D156" s="967"/>
      <c r="E156" s="968"/>
      <c r="F156" s="968"/>
      <c r="G156" s="968"/>
      <c r="H156" s="968"/>
      <c r="I156" s="968"/>
      <c r="J156" s="968"/>
      <c r="K156" s="967"/>
      <c r="L156" s="967"/>
      <c r="M156" s="967"/>
      <c r="N156" s="967"/>
      <c r="O156" s="1007"/>
      <c r="P156" s="1007"/>
      <c r="Q156" s="1008"/>
    </row>
    <row r="157" spans="1:17" hidden="1">
      <c r="A157" s="966"/>
      <c r="B157" s="967"/>
      <c r="C157" s="967">
        <v>121</v>
      </c>
      <c r="D157" s="967"/>
      <c r="E157" s="968"/>
      <c r="F157" s="968"/>
      <c r="G157" s="968"/>
      <c r="H157" s="968"/>
      <c r="I157" s="968"/>
      <c r="J157" s="968"/>
      <c r="K157" s="967"/>
      <c r="L157" s="967"/>
      <c r="M157" s="967"/>
      <c r="N157" s="967"/>
      <c r="O157" s="1007"/>
      <c r="P157" s="1007"/>
      <c r="Q157" s="1008"/>
    </row>
    <row r="158" spans="1:17" hidden="1">
      <c r="A158" s="966"/>
      <c r="B158" s="967"/>
      <c r="C158" s="967">
        <v>122</v>
      </c>
      <c r="D158" s="967"/>
      <c r="E158" s="968"/>
      <c r="F158" s="968"/>
      <c r="G158" s="968"/>
      <c r="H158" s="968"/>
      <c r="I158" s="968"/>
      <c r="J158" s="968"/>
      <c r="K158" s="967"/>
      <c r="L158" s="967"/>
      <c r="M158" s="967"/>
      <c r="N158" s="967"/>
      <c r="O158" s="1007"/>
      <c r="P158" s="1007"/>
      <c r="Q158" s="1008"/>
    </row>
    <row r="159" spans="1:17" hidden="1">
      <c r="A159" s="966"/>
      <c r="B159" s="967"/>
      <c r="C159" s="967">
        <v>123</v>
      </c>
      <c r="D159" s="967"/>
      <c r="E159" s="968"/>
      <c r="F159" s="968"/>
      <c r="G159" s="968"/>
      <c r="H159" s="968"/>
      <c r="I159" s="968"/>
      <c r="J159" s="968"/>
      <c r="K159" s="967"/>
      <c r="L159" s="967"/>
      <c r="M159" s="967"/>
      <c r="N159" s="967"/>
      <c r="O159" s="1007"/>
      <c r="P159" s="1007"/>
      <c r="Q159" s="1008"/>
    </row>
    <row r="160" spans="1:17" hidden="1">
      <c r="A160" s="966"/>
      <c r="B160" s="967"/>
      <c r="C160" s="967">
        <v>124</v>
      </c>
      <c r="D160" s="967"/>
      <c r="E160" s="968"/>
      <c r="F160" s="968"/>
      <c r="G160" s="968"/>
      <c r="H160" s="968"/>
      <c r="I160" s="968"/>
      <c r="J160" s="968"/>
      <c r="K160" s="967"/>
      <c r="L160" s="967"/>
      <c r="M160" s="967"/>
      <c r="N160" s="967"/>
      <c r="O160" s="1007"/>
      <c r="P160" s="1007"/>
      <c r="Q160" s="1008"/>
    </row>
    <row r="161" spans="1:17" hidden="1">
      <c r="A161" s="966"/>
      <c r="B161" s="967"/>
      <c r="C161" s="967">
        <v>125</v>
      </c>
      <c r="D161" s="967"/>
      <c r="E161" s="968"/>
      <c r="F161" s="968"/>
      <c r="G161" s="968"/>
      <c r="H161" s="968"/>
      <c r="I161" s="968"/>
      <c r="J161" s="968"/>
      <c r="K161" s="967"/>
      <c r="L161" s="967"/>
      <c r="M161" s="967"/>
      <c r="N161" s="967"/>
      <c r="O161" s="1007"/>
      <c r="P161" s="1007"/>
      <c r="Q161" s="1008"/>
    </row>
    <row r="162" spans="1:17" hidden="1">
      <c r="A162" s="966"/>
      <c r="B162" s="967"/>
      <c r="C162" s="967">
        <v>126</v>
      </c>
      <c r="D162" s="967"/>
      <c r="E162" s="968"/>
      <c r="F162" s="968"/>
      <c r="G162" s="968"/>
      <c r="H162" s="968"/>
      <c r="I162" s="968"/>
      <c r="J162" s="968"/>
      <c r="K162" s="967"/>
      <c r="L162" s="967"/>
      <c r="M162" s="967"/>
      <c r="N162" s="967"/>
      <c r="O162" s="1007"/>
      <c r="P162" s="1007"/>
      <c r="Q162" s="1008"/>
    </row>
    <row r="163" spans="1:17" hidden="1">
      <c r="A163" s="966"/>
      <c r="B163" s="967"/>
      <c r="C163" s="967">
        <v>127</v>
      </c>
      <c r="D163" s="967"/>
      <c r="E163" s="968"/>
      <c r="F163" s="968"/>
      <c r="G163" s="968"/>
      <c r="H163" s="968"/>
      <c r="I163" s="968"/>
      <c r="J163" s="968"/>
      <c r="K163" s="967"/>
      <c r="L163" s="967"/>
      <c r="M163" s="967"/>
      <c r="N163" s="967"/>
      <c r="O163" s="1007"/>
      <c r="P163" s="1007"/>
      <c r="Q163" s="1008"/>
    </row>
    <row r="164" spans="1:17" hidden="1">
      <c r="A164" s="966"/>
      <c r="B164" s="967"/>
      <c r="C164" s="967">
        <v>128</v>
      </c>
      <c r="D164" s="967"/>
      <c r="E164" s="968"/>
      <c r="F164" s="968"/>
      <c r="G164" s="968"/>
      <c r="H164" s="968"/>
      <c r="I164" s="968"/>
      <c r="J164" s="968"/>
      <c r="K164" s="967"/>
      <c r="L164" s="967"/>
      <c r="M164" s="967"/>
      <c r="N164" s="967"/>
      <c r="O164" s="1007"/>
      <c r="P164" s="1007"/>
      <c r="Q164" s="1008"/>
    </row>
    <row r="165" spans="1:17" hidden="1">
      <c r="A165" s="966"/>
      <c r="B165" s="967"/>
      <c r="C165" s="967">
        <v>129</v>
      </c>
      <c r="D165" s="967"/>
      <c r="E165" s="968"/>
      <c r="F165" s="968"/>
      <c r="G165" s="968"/>
      <c r="H165" s="968"/>
      <c r="I165" s="968"/>
      <c r="J165" s="968"/>
      <c r="K165" s="967"/>
      <c r="L165" s="967"/>
      <c r="M165" s="967"/>
      <c r="N165" s="967"/>
      <c r="O165" s="1007"/>
      <c r="P165" s="1007"/>
      <c r="Q165" s="1008"/>
    </row>
    <row r="166" spans="1:17" hidden="1">
      <c r="A166" s="966"/>
      <c r="B166" s="967"/>
      <c r="C166" s="967">
        <v>130</v>
      </c>
      <c r="D166" s="967"/>
      <c r="E166" s="968"/>
      <c r="F166" s="968"/>
      <c r="G166" s="968"/>
      <c r="H166" s="968"/>
      <c r="I166" s="968"/>
      <c r="J166" s="968"/>
      <c r="K166" s="967"/>
      <c r="L166" s="967"/>
      <c r="M166" s="967"/>
      <c r="N166" s="967"/>
      <c r="O166" s="1007"/>
      <c r="P166" s="1007"/>
      <c r="Q166" s="1008"/>
    </row>
    <row r="167" spans="1:17" hidden="1">
      <c r="A167" s="966"/>
      <c r="B167" s="967"/>
      <c r="C167" s="967">
        <v>131</v>
      </c>
      <c r="D167" s="967"/>
      <c r="E167" s="968"/>
      <c r="F167" s="968"/>
      <c r="G167" s="968"/>
      <c r="H167" s="968"/>
      <c r="I167" s="968"/>
      <c r="J167" s="968"/>
      <c r="K167" s="967"/>
      <c r="L167" s="967"/>
      <c r="M167" s="967"/>
      <c r="N167" s="967"/>
      <c r="O167" s="1007"/>
      <c r="P167" s="1007"/>
      <c r="Q167" s="1008"/>
    </row>
    <row r="168" spans="1:17" hidden="1">
      <c r="A168" s="966"/>
      <c r="B168" s="967"/>
      <c r="C168" s="967">
        <v>132</v>
      </c>
      <c r="D168" s="967"/>
      <c r="E168" s="968"/>
      <c r="F168" s="968"/>
      <c r="G168" s="968"/>
      <c r="H168" s="968"/>
      <c r="I168" s="968"/>
      <c r="J168" s="968"/>
      <c r="K168" s="967"/>
      <c r="L168" s="967"/>
      <c r="M168" s="967"/>
      <c r="N168" s="967"/>
      <c r="O168" s="1007"/>
      <c r="P168" s="1007"/>
      <c r="Q168" s="1008"/>
    </row>
    <row r="169" spans="1:17" hidden="1">
      <c r="A169" s="966"/>
      <c r="B169" s="967"/>
      <c r="C169" s="967">
        <v>133</v>
      </c>
      <c r="D169" s="967"/>
      <c r="E169" s="968"/>
      <c r="F169" s="968"/>
      <c r="G169" s="968"/>
      <c r="H169" s="968"/>
      <c r="I169" s="968"/>
      <c r="J169" s="968"/>
      <c r="K169" s="967"/>
      <c r="L169" s="967"/>
      <c r="M169" s="967"/>
      <c r="N169" s="967"/>
      <c r="O169" s="1007"/>
      <c r="P169" s="1007"/>
      <c r="Q169" s="1008"/>
    </row>
    <row r="170" spans="1:17" hidden="1">
      <c r="A170" s="966"/>
      <c r="B170" s="967"/>
      <c r="C170" s="967">
        <v>134</v>
      </c>
      <c r="D170" s="967"/>
      <c r="E170" s="968"/>
      <c r="F170" s="968"/>
      <c r="G170" s="968"/>
      <c r="H170" s="968"/>
      <c r="I170" s="968"/>
      <c r="J170" s="968"/>
      <c r="K170" s="967"/>
      <c r="L170" s="967"/>
      <c r="M170" s="967"/>
      <c r="N170" s="967"/>
      <c r="O170" s="1007"/>
      <c r="P170" s="1007"/>
      <c r="Q170" s="1008"/>
    </row>
    <row r="171" spans="1:17" hidden="1">
      <c r="A171" s="966"/>
      <c r="B171" s="967"/>
      <c r="C171" s="967">
        <v>135</v>
      </c>
      <c r="D171" s="967"/>
      <c r="E171" s="968"/>
      <c r="F171" s="968"/>
      <c r="G171" s="968"/>
      <c r="H171" s="968"/>
      <c r="I171" s="968"/>
      <c r="J171" s="968"/>
      <c r="K171" s="967"/>
      <c r="L171" s="967"/>
      <c r="M171" s="967"/>
      <c r="N171" s="967"/>
      <c r="O171" s="1007"/>
      <c r="P171" s="1007"/>
      <c r="Q171" s="1008"/>
    </row>
    <row r="172" spans="1:17" hidden="1">
      <c r="A172" s="966"/>
      <c r="B172" s="967"/>
      <c r="C172" s="967">
        <v>136</v>
      </c>
      <c r="D172" s="967"/>
      <c r="E172" s="968"/>
      <c r="F172" s="968"/>
      <c r="G172" s="968"/>
      <c r="H172" s="968"/>
      <c r="I172" s="968"/>
      <c r="J172" s="968"/>
      <c r="K172" s="967"/>
      <c r="L172" s="967"/>
      <c r="M172" s="967"/>
      <c r="N172" s="967"/>
      <c r="O172" s="1007"/>
      <c r="P172" s="1007"/>
      <c r="Q172" s="1008"/>
    </row>
    <row r="173" spans="1:17" hidden="1">
      <c r="A173" s="966"/>
      <c r="B173" s="967"/>
      <c r="C173" s="967">
        <v>137</v>
      </c>
      <c r="D173" s="967"/>
      <c r="E173" s="968"/>
      <c r="F173" s="968"/>
      <c r="G173" s="968"/>
      <c r="H173" s="968"/>
      <c r="I173" s="968"/>
      <c r="J173" s="968"/>
      <c r="K173" s="967"/>
      <c r="L173" s="967"/>
      <c r="M173" s="967"/>
      <c r="N173" s="967"/>
      <c r="O173" s="1007"/>
      <c r="P173" s="1007"/>
      <c r="Q173" s="1008"/>
    </row>
    <row r="174" spans="1:17" hidden="1">
      <c r="A174" s="966"/>
      <c r="B174" s="967"/>
      <c r="C174" s="967">
        <v>138</v>
      </c>
      <c r="D174" s="967"/>
      <c r="E174" s="968"/>
      <c r="F174" s="968"/>
      <c r="G174" s="968"/>
      <c r="H174" s="968"/>
      <c r="I174" s="968"/>
      <c r="J174" s="968"/>
      <c r="K174" s="967"/>
      <c r="L174" s="967"/>
      <c r="M174" s="967"/>
      <c r="N174" s="967"/>
      <c r="O174" s="1007"/>
      <c r="P174" s="1007"/>
      <c r="Q174" s="1008"/>
    </row>
    <row r="175" spans="1:17" hidden="1">
      <c r="A175" s="966"/>
      <c r="B175" s="967"/>
      <c r="C175" s="967">
        <v>139</v>
      </c>
      <c r="D175" s="967"/>
      <c r="E175" s="968"/>
      <c r="F175" s="968"/>
      <c r="G175" s="968"/>
      <c r="H175" s="968"/>
      <c r="I175" s="968"/>
      <c r="J175" s="968"/>
      <c r="K175" s="967"/>
      <c r="L175" s="967"/>
      <c r="M175" s="967"/>
      <c r="N175" s="967"/>
      <c r="O175" s="1007"/>
      <c r="P175" s="1007"/>
      <c r="Q175" s="1008"/>
    </row>
    <row r="176" spans="1:17" hidden="1">
      <c r="A176" s="966"/>
      <c r="B176" s="967"/>
      <c r="C176" s="967">
        <v>140</v>
      </c>
      <c r="D176" s="967"/>
      <c r="E176" s="968"/>
      <c r="F176" s="968"/>
      <c r="G176" s="968"/>
      <c r="H176" s="968"/>
      <c r="I176" s="968"/>
      <c r="J176" s="968"/>
      <c r="K176" s="967"/>
      <c r="L176" s="967"/>
      <c r="M176" s="967"/>
      <c r="N176" s="967"/>
      <c r="O176" s="1007"/>
      <c r="P176" s="1007"/>
      <c r="Q176" s="1008"/>
    </row>
    <row r="177" spans="1:17" hidden="1">
      <c r="A177" s="966"/>
      <c r="B177" s="967"/>
      <c r="C177" s="967">
        <v>141</v>
      </c>
      <c r="D177" s="967"/>
      <c r="E177" s="968"/>
      <c r="F177" s="968"/>
      <c r="G177" s="968"/>
      <c r="H177" s="968"/>
      <c r="I177" s="968"/>
      <c r="J177" s="968"/>
      <c r="K177" s="967"/>
      <c r="L177" s="967"/>
      <c r="M177" s="967"/>
      <c r="N177" s="967"/>
      <c r="O177" s="1007"/>
      <c r="P177" s="1007"/>
      <c r="Q177" s="1008"/>
    </row>
    <row r="178" spans="1:17" hidden="1">
      <c r="A178" s="966"/>
      <c r="B178" s="967"/>
      <c r="C178" s="967">
        <v>142</v>
      </c>
      <c r="D178" s="967"/>
      <c r="E178" s="968"/>
      <c r="F178" s="968"/>
      <c r="G178" s="968"/>
      <c r="H178" s="968"/>
      <c r="I178" s="968"/>
      <c r="J178" s="968"/>
      <c r="K178" s="967"/>
      <c r="L178" s="967"/>
      <c r="M178" s="967"/>
      <c r="N178" s="967"/>
      <c r="O178" s="1007"/>
      <c r="P178" s="1007"/>
      <c r="Q178" s="1008"/>
    </row>
    <row r="179" spans="1:17" hidden="1">
      <c r="A179" s="966"/>
      <c r="B179" s="967"/>
      <c r="C179" s="967">
        <v>143</v>
      </c>
      <c r="D179" s="967"/>
      <c r="E179" s="968"/>
      <c r="F179" s="968"/>
      <c r="G179" s="968"/>
      <c r="H179" s="968"/>
      <c r="I179" s="968"/>
      <c r="J179" s="968"/>
      <c r="K179" s="967"/>
      <c r="L179" s="967"/>
      <c r="M179" s="967"/>
      <c r="N179" s="967"/>
      <c r="O179" s="1007"/>
      <c r="P179" s="1007"/>
      <c r="Q179" s="1008"/>
    </row>
    <row r="180" spans="1:17" hidden="1">
      <c r="A180" s="966"/>
      <c r="B180" s="967"/>
      <c r="C180" s="967">
        <v>144</v>
      </c>
      <c r="D180" s="967"/>
      <c r="E180" s="968"/>
      <c r="F180" s="968"/>
      <c r="G180" s="968"/>
      <c r="H180" s="968"/>
      <c r="I180" s="968"/>
      <c r="J180" s="968"/>
      <c r="K180" s="967"/>
      <c r="L180" s="967"/>
      <c r="M180" s="967"/>
      <c r="N180" s="967"/>
      <c r="O180" s="1007"/>
      <c r="P180" s="1007"/>
      <c r="Q180" s="1008"/>
    </row>
    <row r="181" spans="1:17" hidden="1">
      <c r="A181" s="966"/>
      <c r="B181" s="967"/>
      <c r="C181" s="967">
        <v>145</v>
      </c>
      <c r="D181" s="967"/>
      <c r="E181" s="968"/>
      <c r="F181" s="968"/>
      <c r="G181" s="968"/>
      <c r="H181" s="968"/>
      <c r="I181" s="968"/>
      <c r="J181" s="968"/>
      <c r="K181" s="967"/>
      <c r="L181" s="967"/>
      <c r="M181" s="967"/>
      <c r="N181" s="967"/>
      <c r="O181" s="1007"/>
      <c r="P181" s="1007"/>
      <c r="Q181" s="1008"/>
    </row>
    <row r="182" spans="1:17" hidden="1">
      <c r="A182" s="966"/>
      <c r="B182" s="967"/>
      <c r="C182" s="967">
        <v>146</v>
      </c>
      <c r="D182" s="967"/>
      <c r="E182" s="968"/>
      <c r="F182" s="968"/>
      <c r="G182" s="968"/>
      <c r="H182" s="968"/>
      <c r="I182" s="968"/>
      <c r="J182" s="968"/>
      <c r="K182" s="967"/>
      <c r="L182" s="967"/>
      <c r="M182" s="967"/>
      <c r="N182" s="967"/>
      <c r="O182" s="1007"/>
      <c r="P182" s="1007"/>
      <c r="Q182" s="1008"/>
    </row>
    <row r="183" spans="1:17" hidden="1">
      <c r="A183" s="966"/>
      <c r="B183" s="967"/>
      <c r="C183" s="967">
        <v>147</v>
      </c>
      <c r="D183" s="967"/>
      <c r="E183" s="968"/>
      <c r="F183" s="968"/>
      <c r="G183" s="968"/>
      <c r="H183" s="968"/>
      <c r="I183" s="968"/>
      <c r="J183" s="968"/>
      <c r="K183" s="967"/>
      <c r="L183" s="967"/>
      <c r="M183" s="967"/>
      <c r="N183" s="967"/>
      <c r="O183" s="1007"/>
      <c r="P183" s="1007"/>
      <c r="Q183" s="1008"/>
    </row>
    <row r="184" spans="1:17" hidden="1">
      <c r="A184" s="966"/>
      <c r="B184" s="967"/>
      <c r="C184" s="967">
        <v>148</v>
      </c>
      <c r="D184" s="967"/>
      <c r="E184" s="968"/>
      <c r="F184" s="968"/>
      <c r="G184" s="968"/>
      <c r="H184" s="968"/>
      <c r="I184" s="968"/>
      <c r="J184" s="968"/>
      <c r="K184" s="967"/>
      <c r="L184" s="967"/>
      <c r="M184" s="967"/>
      <c r="N184" s="967"/>
      <c r="O184" s="1007"/>
      <c r="P184" s="1007"/>
      <c r="Q184" s="1008"/>
    </row>
    <row r="185" spans="1:17" hidden="1">
      <c r="A185" s="966"/>
      <c r="B185" s="967"/>
      <c r="C185" s="967">
        <v>149</v>
      </c>
      <c r="D185" s="967"/>
      <c r="E185" s="968"/>
      <c r="F185" s="968"/>
      <c r="G185" s="968"/>
      <c r="H185" s="968"/>
      <c r="I185" s="968"/>
      <c r="J185" s="968"/>
      <c r="K185" s="967"/>
      <c r="L185" s="967"/>
      <c r="M185" s="967"/>
      <c r="N185" s="967"/>
      <c r="O185" s="1007"/>
      <c r="P185" s="1007"/>
      <c r="Q185" s="1008"/>
    </row>
    <row r="186" spans="1:17" hidden="1">
      <c r="A186" s="966"/>
      <c r="B186" s="967"/>
      <c r="C186" s="967">
        <v>150</v>
      </c>
      <c r="D186" s="967"/>
      <c r="E186" s="968"/>
      <c r="F186" s="968"/>
      <c r="G186" s="968"/>
      <c r="H186" s="968"/>
      <c r="I186" s="968"/>
      <c r="J186" s="968"/>
      <c r="K186" s="967"/>
      <c r="L186" s="967"/>
      <c r="M186" s="967"/>
      <c r="N186" s="967"/>
      <c r="O186" s="1007"/>
      <c r="P186" s="1007"/>
      <c r="Q186" s="1008"/>
    </row>
    <row r="187" spans="1:17" hidden="1">
      <c r="A187" s="966"/>
      <c r="B187" s="967"/>
      <c r="C187" s="967">
        <v>151</v>
      </c>
      <c r="D187" s="967"/>
      <c r="E187" s="968"/>
      <c r="F187" s="968"/>
      <c r="G187" s="968"/>
      <c r="H187" s="968"/>
      <c r="I187" s="968"/>
      <c r="J187" s="968"/>
      <c r="K187" s="967"/>
      <c r="L187" s="967"/>
      <c r="M187" s="967"/>
      <c r="N187" s="967"/>
      <c r="O187" s="1007"/>
      <c r="P187" s="1007"/>
      <c r="Q187" s="1008"/>
    </row>
    <row r="188" spans="1:17" hidden="1">
      <c r="A188" s="966"/>
      <c r="B188" s="967"/>
      <c r="C188" s="967">
        <v>152</v>
      </c>
      <c r="D188" s="967"/>
      <c r="E188" s="968"/>
      <c r="F188" s="968"/>
      <c r="G188" s="968"/>
      <c r="H188" s="968"/>
      <c r="I188" s="968"/>
      <c r="J188" s="968"/>
      <c r="K188" s="967"/>
      <c r="L188" s="967"/>
      <c r="M188" s="967"/>
      <c r="N188" s="967"/>
      <c r="O188" s="1007"/>
      <c r="P188" s="1007"/>
      <c r="Q188" s="1008"/>
    </row>
    <row r="189" spans="1:17" hidden="1">
      <c r="A189" s="966"/>
      <c r="B189" s="967"/>
      <c r="C189" s="967">
        <v>153</v>
      </c>
      <c r="D189" s="967"/>
      <c r="E189" s="968"/>
      <c r="F189" s="968"/>
      <c r="G189" s="968"/>
      <c r="H189" s="968"/>
      <c r="I189" s="968"/>
      <c r="J189" s="968"/>
      <c r="K189" s="967"/>
      <c r="L189" s="967"/>
      <c r="M189" s="967"/>
      <c r="N189" s="967"/>
      <c r="O189" s="1007"/>
      <c r="P189" s="1007"/>
      <c r="Q189" s="1008"/>
    </row>
    <row r="190" spans="1:17" hidden="1">
      <c r="A190" s="966"/>
      <c r="B190" s="967"/>
      <c r="C190" s="967">
        <v>154</v>
      </c>
      <c r="D190" s="967"/>
      <c r="E190" s="968"/>
      <c r="F190" s="968"/>
      <c r="G190" s="968"/>
      <c r="H190" s="968"/>
      <c r="I190" s="968"/>
      <c r="J190" s="968"/>
      <c r="K190" s="967"/>
      <c r="L190" s="967"/>
      <c r="M190" s="967"/>
      <c r="N190" s="967"/>
      <c r="O190" s="1007"/>
      <c r="P190" s="1007"/>
      <c r="Q190" s="1008"/>
    </row>
    <row r="191" spans="1:17" hidden="1">
      <c r="A191" s="966"/>
      <c r="B191" s="967"/>
      <c r="C191" s="967">
        <v>155</v>
      </c>
      <c r="D191" s="967"/>
      <c r="E191" s="968"/>
      <c r="F191" s="968"/>
      <c r="G191" s="968"/>
      <c r="H191" s="968"/>
      <c r="I191" s="968"/>
      <c r="J191" s="968"/>
      <c r="K191" s="967"/>
      <c r="L191" s="967"/>
      <c r="M191" s="967"/>
      <c r="N191" s="967"/>
      <c r="O191" s="1007"/>
      <c r="P191" s="1007"/>
      <c r="Q191" s="1008"/>
    </row>
    <row r="192" spans="1:17" hidden="1">
      <c r="A192" s="966"/>
      <c r="B192" s="967"/>
      <c r="C192" s="967">
        <v>156</v>
      </c>
      <c r="D192" s="967"/>
      <c r="E192" s="968"/>
      <c r="F192" s="968"/>
      <c r="G192" s="968"/>
      <c r="H192" s="968"/>
      <c r="I192" s="968"/>
      <c r="J192" s="968"/>
      <c r="K192" s="967"/>
      <c r="L192" s="967"/>
      <c r="M192" s="967"/>
      <c r="N192" s="967"/>
      <c r="O192" s="1007"/>
      <c r="P192" s="1007"/>
      <c r="Q192" s="1008"/>
    </row>
    <row r="193" spans="1:17" hidden="1">
      <c r="A193" s="966"/>
      <c r="B193" s="967"/>
      <c r="C193" s="967">
        <v>157</v>
      </c>
      <c r="D193" s="967"/>
      <c r="E193" s="968"/>
      <c r="F193" s="968"/>
      <c r="G193" s="968"/>
      <c r="H193" s="968"/>
      <c r="I193" s="968"/>
      <c r="J193" s="968"/>
      <c r="K193" s="967"/>
      <c r="L193" s="967"/>
      <c r="M193" s="967"/>
      <c r="N193" s="967"/>
      <c r="O193" s="1007"/>
      <c r="P193" s="1007"/>
      <c r="Q193" s="1008"/>
    </row>
    <row r="194" spans="1:17" hidden="1">
      <c r="A194" s="966"/>
      <c r="B194" s="967"/>
      <c r="C194" s="967">
        <v>158</v>
      </c>
      <c r="D194" s="967"/>
      <c r="E194" s="968"/>
      <c r="F194" s="968"/>
      <c r="G194" s="968"/>
      <c r="H194" s="968"/>
      <c r="I194" s="968"/>
      <c r="J194" s="968"/>
      <c r="K194" s="967"/>
      <c r="L194" s="967"/>
      <c r="M194" s="967"/>
      <c r="N194" s="967"/>
      <c r="O194" s="1007"/>
      <c r="P194" s="1007"/>
      <c r="Q194" s="1008"/>
    </row>
    <row r="195" spans="1:17" hidden="1">
      <c r="A195" s="966"/>
      <c r="B195" s="967"/>
      <c r="C195" s="967">
        <v>159</v>
      </c>
      <c r="D195" s="967"/>
      <c r="E195" s="968"/>
      <c r="F195" s="968"/>
      <c r="G195" s="968"/>
      <c r="H195" s="968"/>
      <c r="I195" s="968"/>
      <c r="J195" s="968"/>
      <c r="K195" s="967"/>
      <c r="L195" s="967"/>
      <c r="M195" s="967"/>
      <c r="N195" s="967"/>
      <c r="O195" s="1007"/>
      <c r="P195" s="1007"/>
      <c r="Q195" s="1008"/>
    </row>
    <row r="196" spans="1:17" hidden="1">
      <c r="A196" s="966"/>
      <c r="B196" s="967"/>
      <c r="C196" s="967">
        <v>160</v>
      </c>
      <c r="D196" s="967"/>
      <c r="E196" s="968"/>
      <c r="F196" s="968"/>
      <c r="G196" s="968"/>
      <c r="H196" s="968"/>
      <c r="I196" s="968"/>
      <c r="J196" s="968"/>
      <c r="K196" s="967"/>
      <c r="L196" s="967"/>
      <c r="M196" s="967"/>
      <c r="N196" s="967"/>
      <c r="O196" s="1007"/>
      <c r="P196" s="1007"/>
      <c r="Q196" s="1008"/>
    </row>
    <row r="197" spans="1:17" hidden="1">
      <c r="A197" s="966"/>
      <c r="B197" s="967"/>
      <c r="C197" s="967">
        <v>161</v>
      </c>
      <c r="D197" s="967"/>
      <c r="E197" s="968"/>
      <c r="F197" s="968"/>
      <c r="G197" s="968"/>
      <c r="H197" s="968"/>
      <c r="I197" s="968"/>
      <c r="J197" s="968"/>
      <c r="K197" s="967"/>
      <c r="L197" s="967"/>
      <c r="M197" s="967"/>
      <c r="N197" s="967"/>
      <c r="O197" s="1007"/>
      <c r="P197" s="1007"/>
      <c r="Q197" s="1008"/>
    </row>
    <row r="198" spans="1:17" hidden="1">
      <c r="A198" s="966"/>
      <c r="B198" s="967"/>
      <c r="C198" s="967">
        <v>162</v>
      </c>
      <c r="D198" s="967"/>
      <c r="E198" s="968"/>
      <c r="F198" s="968"/>
      <c r="G198" s="968"/>
      <c r="H198" s="968"/>
      <c r="I198" s="968"/>
      <c r="J198" s="968"/>
      <c r="K198" s="967"/>
      <c r="L198" s="967"/>
      <c r="M198" s="967"/>
      <c r="N198" s="967"/>
      <c r="O198" s="1007"/>
      <c r="P198" s="1007"/>
      <c r="Q198" s="1008"/>
    </row>
    <row r="199" spans="1:17" hidden="1">
      <c r="A199" s="966"/>
      <c r="B199" s="967"/>
      <c r="C199" s="967">
        <v>163</v>
      </c>
      <c r="D199" s="967"/>
      <c r="E199" s="968"/>
      <c r="F199" s="968"/>
      <c r="G199" s="968"/>
      <c r="H199" s="968"/>
      <c r="I199" s="968"/>
      <c r="J199" s="968"/>
      <c r="K199" s="967"/>
      <c r="L199" s="967"/>
      <c r="M199" s="967"/>
      <c r="N199" s="967"/>
      <c r="O199" s="1007"/>
      <c r="P199" s="1007"/>
      <c r="Q199" s="1008"/>
    </row>
    <row r="200" spans="1:17" hidden="1">
      <c r="A200" s="966"/>
      <c r="B200" s="967"/>
      <c r="C200" s="967">
        <v>164</v>
      </c>
      <c r="D200" s="967"/>
      <c r="E200" s="968"/>
      <c r="F200" s="968"/>
      <c r="G200" s="968"/>
      <c r="H200" s="968"/>
      <c r="I200" s="968"/>
      <c r="J200" s="968"/>
      <c r="K200" s="967"/>
      <c r="L200" s="967"/>
      <c r="M200" s="967"/>
      <c r="N200" s="967"/>
      <c r="O200" s="1007"/>
      <c r="P200" s="1007"/>
      <c r="Q200" s="1008"/>
    </row>
    <row r="201" spans="1:17" hidden="1">
      <c r="A201" s="966"/>
      <c r="B201" s="967"/>
      <c r="C201" s="967">
        <v>165</v>
      </c>
      <c r="D201" s="967"/>
      <c r="E201" s="968"/>
      <c r="F201" s="968"/>
      <c r="G201" s="968"/>
      <c r="H201" s="968"/>
      <c r="I201" s="968"/>
      <c r="J201" s="968"/>
      <c r="K201" s="967"/>
      <c r="L201" s="967"/>
      <c r="M201" s="967"/>
      <c r="N201" s="967"/>
      <c r="O201" s="1007"/>
      <c r="P201" s="1007"/>
      <c r="Q201" s="1008"/>
    </row>
    <row r="202" spans="1:17" hidden="1">
      <c r="A202" s="966"/>
      <c r="B202" s="967"/>
      <c r="C202" s="967">
        <v>166</v>
      </c>
      <c r="D202" s="967"/>
      <c r="E202" s="968"/>
      <c r="F202" s="968"/>
      <c r="G202" s="968"/>
      <c r="H202" s="968"/>
      <c r="I202" s="968"/>
      <c r="J202" s="968"/>
      <c r="K202" s="967"/>
      <c r="L202" s="967"/>
      <c r="M202" s="967"/>
      <c r="N202" s="967"/>
      <c r="O202" s="1007"/>
      <c r="P202" s="1007"/>
      <c r="Q202" s="1008"/>
    </row>
    <row r="203" spans="1:17" hidden="1">
      <c r="A203" s="966"/>
      <c r="B203" s="967"/>
      <c r="C203" s="967">
        <v>167</v>
      </c>
      <c r="D203" s="967"/>
      <c r="E203" s="968"/>
      <c r="F203" s="968"/>
      <c r="G203" s="968"/>
      <c r="H203" s="968"/>
      <c r="I203" s="968"/>
      <c r="J203" s="968"/>
      <c r="K203" s="967"/>
      <c r="L203" s="967"/>
      <c r="M203" s="967"/>
      <c r="N203" s="967"/>
      <c r="O203" s="1007"/>
      <c r="P203" s="1007"/>
      <c r="Q203" s="1008"/>
    </row>
    <row r="204" spans="1:17" hidden="1">
      <c r="A204" s="966"/>
      <c r="B204" s="967"/>
      <c r="C204" s="967">
        <v>168</v>
      </c>
      <c r="D204" s="967"/>
      <c r="E204" s="968"/>
      <c r="F204" s="968"/>
      <c r="G204" s="968"/>
      <c r="H204" s="968"/>
      <c r="I204" s="968"/>
      <c r="J204" s="968"/>
      <c r="K204" s="967"/>
      <c r="L204" s="967"/>
      <c r="M204" s="967"/>
      <c r="N204" s="967"/>
      <c r="O204" s="1007"/>
      <c r="P204" s="1007"/>
      <c r="Q204" s="1008"/>
    </row>
    <row r="205" spans="1:17" hidden="1">
      <c r="A205" s="966"/>
      <c r="B205" s="967"/>
      <c r="C205" s="967">
        <v>169</v>
      </c>
      <c r="D205" s="967"/>
      <c r="E205" s="968"/>
      <c r="F205" s="968"/>
      <c r="G205" s="968"/>
      <c r="H205" s="968"/>
      <c r="I205" s="968"/>
      <c r="J205" s="968"/>
      <c r="K205" s="967"/>
      <c r="L205" s="967"/>
      <c r="M205" s="967"/>
      <c r="N205" s="967"/>
      <c r="O205" s="1007"/>
      <c r="P205" s="1007"/>
      <c r="Q205" s="1008"/>
    </row>
    <row r="206" spans="1:17" hidden="1">
      <c r="A206" s="966"/>
      <c r="B206" s="967"/>
      <c r="C206" s="967">
        <v>170</v>
      </c>
      <c r="D206" s="967"/>
      <c r="E206" s="968"/>
      <c r="F206" s="968"/>
      <c r="G206" s="968"/>
      <c r="H206" s="968"/>
      <c r="I206" s="968"/>
      <c r="J206" s="968"/>
      <c r="K206" s="967"/>
      <c r="L206" s="967"/>
      <c r="M206" s="967"/>
      <c r="N206" s="967"/>
      <c r="O206" s="1007"/>
      <c r="P206" s="1007"/>
      <c r="Q206" s="1008"/>
    </row>
    <row r="207" spans="1:17" hidden="1">
      <c r="A207" s="966"/>
      <c r="B207" s="967"/>
      <c r="C207" s="967">
        <v>171</v>
      </c>
      <c r="D207" s="967"/>
      <c r="E207" s="968"/>
      <c r="F207" s="968"/>
      <c r="G207" s="968"/>
      <c r="H207" s="968"/>
      <c r="I207" s="968"/>
      <c r="J207" s="968"/>
      <c r="K207" s="967"/>
      <c r="L207" s="967"/>
      <c r="M207" s="967"/>
      <c r="N207" s="967"/>
      <c r="O207" s="1007"/>
      <c r="P207" s="1007"/>
      <c r="Q207" s="1008"/>
    </row>
    <row r="208" spans="1:17" hidden="1">
      <c r="A208" s="966"/>
      <c r="B208" s="967"/>
      <c r="C208" s="967">
        <v>172</v>
      </c>
      <c r="D208" s="967"/>
      <c r="E208" s="968"/>
      <c r="F208" s="968"/>
      <c r="G208" s="968"/>
      <c r="H208" s="968"/>
      <c r="I208" s="968"/>
      <c r="J208" s="968"/>
      <c r="K208" s="967"/>
      <c r="L208" s="967"/>
      <c r="M208" s="967"/>
      <c r="N208" s="967"/>
      <c r="O208" s="1007"/>
      <c r="P208" s="1007"/>
      <c r="Q208" s="1008"/>
    </row>
    <row r="209" spans="1:17" hidden="1">
      <c r="A209" s="966"/>
      <c r="B209" s="967"/>
      <c r="C209" s="967">
        <v>173</v>
      </c>
      <c r="D209" s="967"/>
      <c r="E209" s="968"/>
      <c r="F209" s="968"/>
      <c r="G209" s="968"/>
      <c r="H209" s="968"/>
      <c r="I209" s="968"/>
      <c r="J209" s="968"/>
      <c r="K209" s="967"/>
      <c r="L209" s="967"/>
      <c r="M209" s="967"/>
      <c r="N209" s="967"/>
      <c r="O209" s="1007"/>
      <c r="P209" s="1007"/>
      <c r="Q209" s="1008"/>
    </row>
    <row r="210" spans="1:17" hidden="1">
      <c r="A210" s="966"/>
      <c r="B210" s="967"/>
      <c r="C210" s="967">
        <v>174</v>
      </c>
      <c r="D210" s="967"/>
      <c r="E210" s="968"/>
      <c r="F210" s="968"/>
      <c r="G210" s="968"/>
      <c r="H210" s="968"/>
      <c r="I210" s="968"/>
      <c r="J210" s="968"/>
      <c r="K210" s="967"/>
      <c r="L210" s="967"/>
      <c r="M210" s="967"/>
      <c r="N210" s="967"/>
      <c r="O210" s="1007"/>
      <c r="P210" s="1007"/>
      <c r="Q210" s="1008"/>
    </row>
    <row r="211" spans="1:17" hidden="1">
      <c r="A211" s="966"/>
      <c r="B211" s="967"/>
      <c r="C211" s="967">
        <v>175</v>
      </c>
      <c r="D211" s="967"/>
      <c r="E211" s="968"/>
      <c r="F211" s="968"/>
      <c r="G211" s="968"/>
      <c r="H211" s="968"/>
      <c r="I211" s="968"/>
      <c r="J211" s="968"/>
      <c r="K211" s="967"/>
      <c r="L211" s="967"/>
      <c r="M211" s="967"/>
      <c r="N211" s="967"/>
      <c r="O211" s="1007"/>
      <c r="P211" s="1007"/>
      <c r="Q211" s="1008"/>
    </row>
    <row r="212" spans="1:17" hidden="1">
      <c r="A212" s="966"/>
      <c r="B212" s="967"/>
      <c r="C212" s="967">
        <v>176</v>
      </c>
      <c r="D212" s="967"/>
      <c r="E212" s="968"/>
      <c r="F212" s="968"/>
      <c r="G212" s="968"/>
      <c r="H212" s="968"/>
      <c r="I212" s="968"/>
      <c r="J212" s="968"/>
      <c r="K212" s="967"/>
      <c r="L212" s="967"/>
      <c r="M212" s="967"/>
      <c r="N212" s="967"/>
      <c r="O212" s="1007"/>
      <c r="P212" s="1007"/>
      <c r="Q212" s="1008"/>
    </row>
    <row r="213" spans="1:17" hidden="1">
      <c r="A213" s="966"/>
      <c r="B213" s="967"/>
      <c r="C213" s="967">
        <v>177</v>
      </c>
      <c r="D213" s="967"/>
      <c r="E213" s="968"/>
      <c r="F213" s="968"/>
      <c r="G213" s="968"/>
      <c r="H213" s="968"/>
      <c r="I213" s="968"/>
      <c r="J213" s="968"/>
      <c r="K213" s="967"/>
      <c r="L213" s="967"/>
      <c r="M213" s="967"/>
      <c r="N213" s="967"/>
      <c r="O213" s="1007"/>
      <c r="P213" s="1007"/>
      <c r="Q213" s="1008"/>
    </row>
    <row r="214" spans="1:17" hidden="1">
      <c r="A214" s="966"/>
      <c r="B214" s="967"/>
      <c r="C214" s="967">
        <v>178</v>
      </c>
      <c r="D214" s="967"/>
      <c r="E214" s="968"/>
      <c r="F214" s="968"/>
      <c r="G214" s="968"/>
      <c r="H214" s="968"/>
      <c r="I214" s="968"/>
      <c r="J214" s="968"/>
      <c r="K214" s="967"/>
      <c r="L214" s="967"/>
      <c r="M214" s="967"/>
      <c r="N214" s="967"/>
      <c r="O214" s="1007"/>
      <c r="P214" s="1007"/>
      <c r="Q214" s="1008"/>
    </row>
    <row r="215" spans="1:17" hidden="1">
      <c r="A215" s="966"/>
      <c r="B215" s="967"/>
      <c r="C215" s="967">
        <v>179</v>
      </c>
      <c r="D215" s="967"/>
      <c r="E215" s="968"/>
      <c r="F215" s="968"/>
      <c r="G215" s="968"/>
      <c r="H215" s="968"/>
      <c r="I215" s="968"/>
      <c r="J215" s="968"/>
      <c r="K215" s="967"/>
      <c r="L215" s="967"/>
      <c r="M215" s="967"/>
      <c r="N215" s="967"/>
      <c r="O215" s="1007"/>
      <c r="P215" s="1007"/>
      <c r="Q215" s="1008"/>
    </row>
    <row r="216" spans="1:17" hidden="1">
      <c r="A216" s="966"/>
      <c r="B216" s="967"/>
      <c r="C216" s="967">
        <v>180</v>
      </c>
      <c r="D216" s="967"/>
      <c r="E216" s="968"/>
      <c r="F216" s="968"/>
      <c r="G216" s="968"/>
      <c r="H216" s="968"/>
      <c r="I216" s="968"/>
      <c r="J216" s="968"/>
      <c r="K216" s="967"/>
      <c r="L216" s="967"/>
      <c r="M216" s="967"/>
      <c r="N216" s="967"/>
      <c r="O216" s="1007"/>
      <c r="P216" s="1007"/>
      <c r="Q216" s="1008"/>
    </row>
    <row r="217" spans="1:17" hidden="1">
      <c r="A217" s="966"/>
      <c r="B217" s="967"/>
      <c r="C217" s="967">
        <v>181</v>
      </c>
      <c r="D217" s="967"/>
      <c r="E217" s="968"/>
      <c r="F217" s="968"/>
      <c r="G217" s="968"/>
      <c r="H217" s="968"/>
      <c r="I217" s="968"/>
      <c r="J217" s="968"/>
      <c r="K217" s="967"/>
      <c r="L217" s="967"/>
      <c r="M217" s="967"/>
      <c r="N217" s="967"/>
      <c r="O217" s="1007"/>
      <c r="P217" s="1007"/>
      <c r="Q217" s="1008"/>
    </row>
    <row r="218" spans="1:17" hidden="1">
      <c r="A218" s="966"/>
      <c r="B218" s="967"/>
      <c r="C218" s="967">
        <v>182</v>
      </c>
      <c r="D218" s="967"/>
      <c r="E218" s="968"/>
      <c r="F218" s="968"/>
      <c r="G218" s="968"/>
      <c r="H218" s="968"/>
      <c r="I218" s="968"/>
      <c r="J218" s="968"/>
      <c r="K218" s="967"/>
      <c r="L218" s="967"/>
      <c r="M218" s="967"/>
      <c r="N218" s="967"/>
      <c r="O218" s="1007"/>
      <c r="P218" s="1007"/>
      <c r="Q218" s="1008"/>
    </row>
    <row r="219" spans="1:17" hidden="1">
      <c r="A219" s="966"/>
      <c r="B219" s="967"/>
      <c r="C219" s="967">
        <v>183</v>
      </c>
      <c r="D219" s="967"/>
      <c r="E219" s="968"/>
      <c r="F219" s="968"/>
      <c r="G219" s="968"/>
      <c r="H219" s="968"/>
      <c r="I219" s="968"/>
      <c r="J219" s="968"/>
      <c r="K219" s="967"/>
      <c r="L219" s="967"/>
      <c r="M219" s="967"/>
      <c r="N219" s="967"/>
      <c r="O219" s="1007"/>
      <c r="P219" s="1007"/>
      <c r="Q219" s="1008"/>
    </row>
    <row r="220" spans="1:17" hidden="1">
      <c r="A220" s="966"/>
      <c r="B220" s="967"/>
      <c r="C220" s="967">
        <v>184</v>
      </c>
      <c r="D220" s="967"/>
      <c r="E220" s="968"/>
      <c r="F220" s="968"/>
      <c r="G220" s="968"/>
      <c r="H220" s="968"/>
      <c r="I220" s="968"/>
      <c r="J220" s="968"/>
      <c r="K220" s="967"/>
      <c r="L220" s="967"/>
      <c r="M220" s="967"/>
      <c r="N220" s="967"/>
      <c r="O220" s="1007"/>
      <c r="P220" s="1007"/>
      <c r="Q220" s="1008"/>
    </row>
    <row r="221" spans="1:17" hidden="1">
      <c r="A221" s="966"/>
      <c r="B221" s="967"/>
      <c r="C221" s="967">
        <v>185</v>
      </c>
      <c r="D221" s="967"/>
      <c r="E221" s="968"/>
      <c r="F221" s="968"/>
      <c r="G221" s="968"/>
      <c r="H221" s="968"/>
      <c r="I221" s="968"/>
      <c r="J221" s="968"/>
      <c r="K221" s="967"/>
      <c r="L221" s="967"/>
      <c r="M221" s="967"/>
      <c r="N221" s="967"/>
      <c r="O221" s="1007"/>
      <c r="P221" s="1007"/>
      <c r="Q221" s="1008"/>
    </row>
    <row r="222" spans="1:17" hidden="1">
      <c r="A222" s="966"/>
      <c r="B222" s="967"/>
      <c r="C222" s="967">
        <v>186</v>
      </c>
      <c r="D222" s="967"/>
      <c r="E222" s="968"/>
      <c r="F222" s="968"/>
      <c r="G222" s="968"/>
      <c r="H222" s="968"/>
      <c r="I222" s="968"/>
      <c r="J222" s="968"/>
      <c r="K222" s="967"/>
      <c r="L222" s="967"/>
      <c r="M222" s="967"/>
      <c r="N222" s="967"/>
      <c r="O222" s="1007"/>
      <c r="P222" s="1007"/>
      <c r="Q222" s="1008"/>
    </row>
    <row r="223" spans="1:17" hidden="1">
      <c r="A223" s="966"/>
      <c r="B223" s="967"/>
      <c r="C223" s="967">
        <v>187</v>
      </c>
      <c r="D223" s="967"/>
      <c r="E223" s="968"/>
      <c r="F223" s="968"/>
      <c r="G223" s="968"/>
      <c r="H223" s="968"/>
      <c r="I223" s="968"/>
      <c r="J223" s="968"/>
      <c r="K223" s="967"/>
      <c r="L223" s="967"/>
      <c r="M223" s="967"/>
      <c r="N223" s="967"/>
      <c r="O223" s="1007"/>
      <c r="P223" s="1007"/>
      <c r="Q223" s="1008"/>
    </row>
    <row r="224" spans="1:17" hidden="1">
      <c r="A224" s="966"/>
      <c r="B224" s="967"/>
      <c r="C224" s="967">
        <v>188</v>
      </c>
      <c r="D224" s="967"/>
      <c r="E224" s="968"/>
      <c r="F224" s="968"/>
      <c r="G224" s="968"/>
      <c r="H224" s="968"/>
      <c r="I224" s="968"/>
      <c r="J224" s="968"/>
      <c r="K224" s="967"/>
      <c r="L224" s="967"/>
      <c r="M224" s="967"/>
      <c r="N224" s="967"/>
      <c r="O224" s="1007"/>
      <c r="P224" s="1007"/>
      <c r="Q224" s="1008"/>
    </row>
    <row r="225" spans="1:17" hidden="1">
      <c r="A225" s="966"/>
      <c r="B225" s="967"/>
      <c r="C225" s="967">
        <v>189</v>
      </c>
      <c r="D225" s="967"/>
      <c r="E225" s="968"/>
      <c r="F225" s="968"/>
      <c r="G225" s="968"/>
      <c r="H225" s="968"/>
      <c r="I225" s="968"/>
      <c r="J225" s="968"/>
      <c r="K225" s="967"/>
      <c r="L225" s="967"/>
      <c r="M225" s="967"/>
      <c r="N225" s="967"/>
      <c r="O225" s="1007"/>
      <c r="P225" s="1007"/>
      <c r="Q225" s="1008"/>
    </row>
    <row r="226" spans="1:17" hidden="1">
      <c r="A226" s="966"/>
      <c r="B226" s="967"/>
      <c r="C226" s="967">
        <v>190</v>
      </c>
      <c r="D226" s="967"/>
      <c r="E226" s="968"/>
      <c r="F226" s="968"/>
      <c r="G226" s="968"/>
      <c r="H226" s="968"/>
      <c r="I226" s="968"/>
      <c r="J226" s="968"/>
      <c r="K226" s="967"/>
      <c r="L226" s="967"/>
      <c r="M226" s="967"/>
      <c r="N226" s="967"/>
      <c r="O226" s="1007"/>
      <c r="P226" s="1007"/>
      <c r="Q226" s="1008"/>
    </row>
    <row r="227" spans="1:17" hidden="1">
      <c r="A227" s="966"/>
      <c r="B227" s="967"/>
      <c r="C227" s="967">
        <v>191</v>
      </c>
      <c r="D227" s="967"/>
      <c r="E227" s="968"/>
      <c r="F227" s="968"/>
      <c r="G227" s="968"/>
      <c r="H227" s="968"/>
      <c r="I227" s="968"/>
      <c r="J227" s="968"/>
      <c r="K227" s="967"/>
      <c r="L227" s="967"/>
      <c r="M227" s="967"/>
      <c r="N227" s="967"/>
      <c r="O227" s="1007"/>
      <c r="P227" s="1007"/>
      <c r="Q227" s="1008"/>
    </row>
    <row r="228" spans="1:17" hidden="1">
      <c r="A228" s="966"/>
      <c r="B228" s="967"/>
      <c r="C228" s="967">
        <v>192</v>
      </c>
      <c r="D228" s="967"/>
      <c r="E228" s="968"/>
      <c r="F228" s="968"/>
      <c r="G228" s="968"/>
      <c r="H228" s="968"/>
      <c r="I228" s="968"/>
      <c r="J228" s="968"/>
      <c r="K228" s="967"/>
      <c r="L228" s="967"/>
      <c r="M228" s="967"/>
      <c r="N228" s="967"/>
      <c r="O228" s="1007"/>
      <c r="P228" s="1007"/>
      <c r="Q228" s="1008"/>
    </row>
    <row r="229" spans="1:17" hidden="1">
      <c r="A229" s="966"/>
      <c r="B229" s="967"/>
      <c r="C229" s="967">
        <v>193</v>
      </c>
      <c r="D229" s="967"/>
      <c r="E229" s="968"/>
      <c r="F229" s="968"/>
      <c r="G229" s="968"/>
      <c r="H229" s="968"/>
      <c r="I229" s="968"/>
      <c r="J229" s="968"/>
      <c r="K229" s="967"/>
      <c r="L229" s="967"/>
      <c r="M229" s="967"/>
      <c r="N229" s="967"/>
      <c r="O229" s="1007"/>
      <c r="P229" s="1007"/>
      <c r="Q229" s="1008"/>
    </row>
    <row r="230" spans="1:17" hidden="1">
      <c r="A230" s="966"/>
      <c r="B230" s="967"/>
      <c r="C230" s="967">
        <v>194</v>
      </c>
      <c r="D230" s="967"/>
      <c r="E230" s="968"/>
      <c r="F230" s="968"/>
      <c r="G230" s="968"/>
      <c r="H230" s="968"/>
      <c r="I230" s="968"/>
      <c r="J230" s="968"/>
      <c r="K230" s="967"/>
      <c r="L230" s="967"/>
      <c r="M230" s="967"/>
      <c r="N230" s="967"/>
      <c r="O230" s="1007"/>
      <c r="P230" s="1007"/>
      <c r="Q230" s="1008"/>
    </row>
    <row r="231" spans="1:17" hidden="1">
      <c r="A231" s="966"/>
      <c r="B231" s="967"/>
      <c r="C231" s="967">
        <v>195</v>
      </c>
      <c r="D231" s="967"/>
      <c r="E231" s="968"/>
      <c r="F231" s="968"/>
      <c r="G231" s="968"/>
      <c r="H231" s="968"/>
      <c r="I231" s="968"/>
      <c r="J231" s="968"/>
      <c r="K231" s="967"/>
      <c r="L231" s="967"/>
      <c r="M231" s="967"/>
      <c r="N231" s="967"/>
      <c r="O231" s="1007"/>
      <c r="P231" s="1007"/>
      <c r="Q231" s="1008"/>
    </row>
    <row r="232" spans="1:17" hidden="1">
      <c r="A232" s="966"/>
      <c r="B232" s="967"/>
      <c r="C232" s="967">
        <v>196</v>
      </c>
      <c r="D232" s="967"/>
      <c r="E232" s="968"/>
      <c r="F232" s="968"/>
      <c r="G232" s="968"/>
      <c r="H232" s="968"/>
      <c r="I232" s="968"/>
      <c r="J232" s="968"/>
      <c r="K232" s="967"/>
      <c r="L232" s="967"/>
      <c r="M232" s="967"/>
      <c r="N232" s="967"/>
      <c r="O232" s="1007"/>
      <c r="P232" s="1007"/>
      <c r="Q232" s="1008"/>
    </row>
    <row r="233" spans="1:17" hidden="1">
      <c r="A233" s="966"/>
      <c r="B233" s="967"/>
      <c r="C233" s="967">
        <v>197</v>
      </c>
      <c r="D233" s="967"/>
      <c r="E233" s="968"/>
      <c r="F233" s="968"/>
      <c r="G233" s="968"/>
      <c r="H233" s="968"/>
      <c r="I233" s="968"/>
      <c r="J233" s="968"/>
      <c r="K233" s="967"/>
      <c r="L233" s="967"/>
      <c r="M233" s="967"/>
      <c r="N233" s="967"/>
      <c r="O233" s="1007"/>
      <c r="P233" s="1007"/>
      <c r="Q233" s="1008"/>
    </row>
    <row r="234" spans="1:17" hidden="1">
      <c r="A234" s="966"/>
      <c r="B234" s="967"/>
      <c r="C234" s="967">
        <v>198</v>
      </c>
      <c r="D234" s="967"/>
      <c r="E234" s="968"/>
      <c r="F234" s="968"/>
      <c r="G234" s="968"/>
      <c r="H234" s="968"/>
      <c r="I234" s="968"/>
      <c r="J234" s="968"/>
      <c r="K234" s="967"/>
      <c r="L234" s="967"/>
      <c r="M234" s="967"/>
      <c r="N234" s="967"/>
      <c r="O234" s="1007"/>
      <c r="P234" s="1007"/>
      <c r="Q234" s="1008"/>
    </row>
    <row r="235" spans="1:17" hidden="1">
      <c r="A235" s="966"/>
      <c r="B235" s="967"/>
      <c r="C235" s="967">
        <v>199</v>
      </c>
      <c r="D235" s="967"/>
      <c r="E235" s="968"/>
      <c r="F235" s="968"/>
      <c r="G235" s="968"/>
      <c r="H235" s="968"/>
      <c r="I235" s="968"/>
      <c r="J235" s="968"/>
      <c r="K235" s="967"/>
      <c r="L235" s="967"/>
      <c r="M235" s="967"/>
      <c r="N235" s="967"/>
      <c r="O235" s="1007"/>
      <c r="P235" s="1007"/>
      <c r="Q235" s="1008"/>
    </row>
    <row r="236" spans="1:17" hidden="1">
      <c r="A236" s="966"/>
      <c r="B236" s="967"/>
      <c r="C236" s="967">
        <v>200</v>
      </c>
      <c r="D236" s="967"/>
      <c r="E236" s="968"/>
      <c r="F236" s="968"/>
      <c r="G236" s="968"/>
      <c r="H236" s="968"/>
      <c r="I236" s="968"/>
      <c r="J236" s="968"/>
      <c r="K236" s="967"/>
      <c r="L236" s="967"/>
      <c r="M236" s="967"/>
      <c r="N236" s="967"/>
      <c r="O236" s="1007"/>
      <c r="P236" s="1007"/>
      <c r="Q236" s="1008"/>
    </row>
    <row r="237" spans="1:17" hidden="1">
      <c r="A237" s="966"/>
      <c r="B237" s="967"/>
      <c r="C237" s="967">
        <v>201</v>
      </c>
      <c r="D237" s="967"/>
      <c r="E237" s="968"/>
      <c r="F237" s="968"/>
      <c r="G237" s="968"/>
      <c r="H237" s="968"/>
      <c r="I237" s="968"/>
      <c r="J237" s="968"/>
      <c r="K237" s="967"/>
      <c r="L237" s="967"/>
      <c r="M237" s="967"/>
      <c r="N237" s="967"/>
      <c r="O237" s="1007"/>
      <c r="P237" s="1007"/>
      <c r="Q237" s="1008"/>
    </row>
    <row r="238" spans="1:17" hidden="1">
      <c r="A238" s="966"/>
      <c r="B238" s="967"/>
      <c r="C238" s="967">
        <v>202</v>
      </c>
      <c r="D238" s="967"/>
      <c r="E238" s="968"/>
      <c r="F238" s="968"/>
      <c r="G238" s="968"/>
      <c r="H238" s="968"/>
      <c r="I238" s="968"/>
      <c r="J238" s="968"/>
      <c r="K238" s="967"/>
      <c r="L238" s="967"/>
      <c r="M238" s="967"/>
      <c r="N238" s="967"/>
      <c r="O238" s="1007"/>
      <c r="P238" s="1007"/>
      <c r="Q238" s="1008"/>
    </row>
    <row r="239" spans="1:17" hidden="1">
      <c r="A239" s="966"/>
      <c r="B239" s="967"/>
      <c r="C239" s="967">
        <v>203</v>
      </c>
      <c r="D239" s="967"/>
      <c r="E239" s="968"/>
      <c r="F239" s="968"/>
      <c r="G239" s="968"/>
      <c r="H239" s="968"/>
      <c r="I239" s="968"/>
      <c r="J239" s="968"/>
      <c r="K239" s="967"/>
      <c r="L239" s="967"/>
      <c r="M239" s="967"/>
      <c r="N239" s="967"/>
      <c r="O239" s="1007"/>
      <c r="P239" s="1007"/>
      <c r="Q239" s="1008"/>
    </row>
    <row r="240" spans="1:17" hidden="1">
      <c r="A240" s="966"/>
      <c r="B240" s="967"/>
      <c r="C240" s="967">
        <v>204</v>
      </c>
      <c r="D240" s="967"/>
      <c r="E240" s="968"/>
      <c r="F240" s="968"/>
      <c r="G240" s="968"/>
      <c r="H240" s="968"/>
      <c r="I240" s="968"/>
      <c r="J240" s="968"/>
      <c r="K240" s="967"/>
      <c r="L240" s="967"/>
      <c r="M240" s="967"/>
      <c r="N240" s="967"/>
      <c r="O240" s="1007"/>
      <c r="P240" s="1007"/>
      <c r="Q240" s="1008"/>
    </row>
    <row r="241" spans="1:17" hidden="1">
      <c r="A241" s="966"/>
      <c r="B241" s="967"/>
      <c r="C241" s="967">
        <v>205</v>
      </c>
      <c r="D241" s="967"/>
      <c r="E241" s="968"/>
      <c r="F241" s="968"/>
      <c r="G241" s="968"/>
      <c r="H241" s="968"/>
      <c r="I241" s="968"/>
      <c r="J241" s="968"/>
      <c r="K241" s="967"/>
      <c r="L241" s="967"/>
      <c r="M241" s="967"/>
      <c r="N241" s="967"/>
      <c r="O241" s="1007"/>
      <c r="P241" s="1007"/>
      <c r="Q241" s="1008"/>
    </row>
    <row r="242" spans="1:17" hidden="1">
      <c r="A242" s="966"/>
      <c r="B242" s="967"/>
      <c r="C242" s="967">
        <v>206</v>
      </c>
      <c r="D242" s="967"/>
      <c r="E242" s="968"/>
      <c r="F242" s="968"/>
      <c r="G242" s="968"/>
      <c r="H242" s="968"/>
      <c r="I242" s="968"/>
      <c r="J242" s="968"/>
      <c r="K242" s="967"/>
      <c r="L242" s="967"/>
      <c r="M242" s="967"/>
      <c r="N242" s="967"/>
      <c r="O242" s="1007"/>
      <c r="P242" s="1007"/>
      <c r="Q242" s="1008"/>
    </row>
    <row r="243" spans="1:17" hidden="1">
      <c r="A243" s="966"/>
      <c r="B243" s="967"/>
      <c r="C243" s="967">
        <v>207</v>
      </c>
      <c r="D243" s="967"/>
      <c r="E243" s="968"/>
      <c r="F243" s="968"/>
      <c r="G243" s="968"/>
      <c r="H243" s="968"/>
      <c r="I243" s="968"/>
      <c r="J243" s="968"/>
      <c r="K243" s="967"/>
      <c r="L243" s="967"/>
      <c r="M243" s="967"/>
      <c r="N243" s="967"/>
      <c r="O243" s="1007"/>
      <c r="P243" s="1007"/>
      <c r="Q243" s="1008"/>
    </row>
    <row r="244" spans="1:17" hidden="1">
      <c r="A244" s="966"/>
      <c r="B244" s="967"/>
      <c r="C244" s="967">
        <v>208</v>
      </c>
      <c r="D244" s="967"/>
      <c r="E244" s="968"/>
      <c r="F244" s="968"/>
      <c r="G244" s="968"/>
      <c r="H244" s="968"/>
      <c r="I244" s="968"/>
      <c r="J244" s="968"/>
      <c r="K244" s="967"/>
      <c r="L244" s="967"/>
      <c r="M244" s="967"/>
      <c r="N244" s="967"/>
      <c r="O244" s="1007"/>
      <c r="P244" s="1007"/>
      <c r="Q244" s="1008"/>
    </row>
    <row r="245" spans="1:17" hidden="1">
      <c r="A245" s="966"/>
      <c r="B245" s="967"/>
      <c r="C245" s="967">
        <v>209</v>
      </c>
      <c r="D245" s="967"/>
      <c r="E245" s="968"/>
      <c r="F245" s="968"/>
      <c r="G245" s="968"/>
      <c r="H245" s="968"/>
      <c r="I245" s="968"/>
      <c r="J245" s="968"/>
      <c r="K245" s="967"/>
      <c r="L245" s="967"/>
      <c r="M245" s="967"/>
      <c r="N245" s="967"/>
      <c r="O245" s="1007"/>
      <c r="P245" s="1007"/>
      <c r="Q245" s="1008"/>
    </row>
    <row r="246" spans="1:17" hidden="1">
      <c r="A246" s="966"/>
      <c r="B246" s="967"/>
      <c r="C246" s="967">
        <v>210</v>
      </c>
      <c r="D246" s="967"/>
      <c r="E246" s="968"/>
      <c r="F246" s="968"/>
      <c r="G246" s="968"/>
      <c r="H246" s="968"/>
      <c r="I246" s="968"/>
      <c r="J246" s="968"/>
      <c r="K246" s="967"/>
      <c r="L246" s="967"/>
      <c r="M246" s="967"/>
      <c r="N246" s="967"/>
      <c r="O246" s="1007"/>
      <c r="P246" s="1007"/>
      <c r="Q246" s="1008"/>
    </row>
    <row r="247" spans="1:17" hidden="1">
      <c r="A247" s="966"/>
      <c r="B247" s="967"/>
      <c r="C247" s="967">
        <v>211</v>
      </c>
      <c r="D247" s="967"/>
      <c r="E247" s="968"/>
      <c r="F247" s="968"/>
      <c r="G247" s="968"/>
      <c r="H247" s="968"/>
      <c r="I247" s="968"/>
      <c r="J247" s="968"/>
      <c r="K247" s="967"/>
      <c r="L247" s="967"/>
      <c r="M247" s="967"/>
      <c r="N247" s="967"/>
      <c r="O247" s="1007"/>
      <c r="P247" s="1007"/>
      <c r="Q247" s="1008"/>
    </row>
    <row r="248" spans="1:17" hidden="1">
      <c r="A248" s="966"/>
      <c r="B248" s="967"/>
      <c r="C248" s="967">
        <v>212</v>
      </c>
      <c r="D248" s="967"/>
      <c r="E248" s="968"/>
      <c r="F248" s="968"/>
      <c r="G248" s="968"/>
      <c r="H248" s="968"/>
      <c r="I248" s="968"/>
      <c r="J248" s="968"/>
      <c r="K248" s="967"/>
      <c r="L248" s="967"/>
      <c r="M248" s="967"/>
      <c r="N248" s="967"/>
      <c r="O248" s="1007"/>
      <c r="P248" s="1007"/>
      <c r="Q248" s="1008"/>
    </row>
    <row r="249" spans="1:17" hidden="1">
      <c r="A249" s="966"/>
      <c r="B249" s="967"/>
      <c r="C249" s="967">
        <v>213</v>
      </c>
      <c r="D249" s="967"/>
      <c r="E249" s="968"/>
      <c r="F249" s="968"/>
      <c r="G249" s="968"/>
      <c r="H249" s="968"/>
      <c r="I249" s="968"/>
      <c r="J249" s="968"/>
      <c r="K249" s="967"/>
      <c r="L249" s="967"/>
      <c r="M249" s="967"/>
      <c r="N249" s="967"/>
      <c r="O249" s="1007"/>
      <c r="P249" s="1007"/>
      <c r="Q249" s="1008"/>
    </row>
    <row r="250" spans="1:17" hidden="1">
      <c r="A250" s="966"/>
      <c r="B250" s="967"/>
      <c r="C250" s="967">
        <v>214</v>
      </c>
      <c r="D250" s="967"/>
      <c r="E250" s="968"/>
      <c r="F250" s="968"/>
      <c r="G250" s="968"/>
      <c r="H250" s="968"/>
      <c r="I250" s="968"/>
      <c r="J250" s="968"/>
      <c r="K250" s="967"/>
      <c r="L250" s="967"/>
      <c r="M250" s="967"/>
      <c r="N250" s="967"/>
      <c r="O250" s="1007"/>
      <c r="P250" s="1007"/>
      <c r="Q250" s="1008"/>
    </row>
    <row r="251" spans="1:17" hidden="1">
      <c r="A251" s="966"/>
      <c r="B251" s="967"/>
      <c r="C251" s="967">
        <v>215</v>
      </c>
      <c r="D251" s="967"/>
      <c r="E251" s="968"/>
      <c r="F251" s="968"/>
      <c r="G251" s="968"/>
      <c r="H251" s="968"/>
      <c r="I251" s="968"/>
      <c r="J251" s="968"/>
      <c r="K251" s="967"/>
      <c r="L251" s="967"/>
      <c r="M251" s="967"/>
      <c r="N251" s="967"/>
      <c r="O251" s="1007"/>
      <c r="P251" s="1007"/>
      <c r="Q251" s="1008"/>
    </row>
    <row r="252" spans="1:17" hidden="1">
      <c r="A252" s="966"/>
      <c r="B252" s="967"/>
      <c r="C252" s="967">
        <v>216</v>
      </c>
      <c r="D252" s="967"/>
      <c r="E252" s="968"/>
      <c r="F252" s="968"/>
      <c r="G252" s="968"/>
      <c r="H252" s="968"/>
      <c r="I252" s="968"/>
      <c r="J252" s="968"/>
      <c r="K252" s="967"/>
      <c r="L252" s="967"/>
      <c r="M252" s="967"/>
      <c r="N252" s="967"/>
      <c r="O252" s="1007"/>
      <c r="P252" s="1007"/>
      <c r="Q252" s="1008"/>
    </row>
    <row r="253" spans="1:17" hidden="1">
      <c r="A253" s="966"/>
      <c r="B253" s="967"/>
      <c r="C253" s="967">
        <v>217</v>
      </c>
      <c r="D253" s="967"/>
      <c r="E253" s="968"/>
      <c r="F253" s="968"/>
      <c r="G253" s="968"/>
      <c r="H253" s="968"/>
      <c r="I253" s="968"/>
      <c r="J253" s="968"/>
      <c r="K253" s="967"/>
      <c r="L253" s="967"/>
      <c r="M253" s="967"/>
      <c r="N253" s="967"/>
      <c r="O253" s="1007"/>
      <c r="P253" s="1007"/>
      <c r="Q253" s="1008"/>
    </row>
    <row r="254" spans="1:17" hidden="1">
      <c r="A254" s="966"/>
      <c r="B254" s="967"/>
      <c r="C254" s="967">
        <v>218</v>
      </c>
      <c r="D254" s="967"/>
      <c r="E254" s="968"/>
      <c r="F254" s="968"/>
      <c r="G254" s="968"/>
      <c r="H254" s="968"/>
      <c r="I254" s="968"/>
      <c r="J254" s="968"/>
      <c r="K254" s="967"/>
      <c r="L254" s="967"/>
      <c r="M254" s="967"/>
      <c r="N254" s="967"/>
      <c r="O254" s="1007"/>
      <c r="P254" s="1007"/>
      <c r="Q254" s="1008"/>
    </row>
    <row r="255" spans="1:17" hidden="1">
      <c r="A255" s="966"/>
      <c r="B255" s="967"/>
      <c r="C255" s="967">
        <v>219</v>
      </c>
      <c r="D255" s="967"/>
      <c r="E255" s="968"/>
      <c r="F255" s="968"/>
      <c r="G255" s="968"/>
      <c r="H255" s="968"/>
      <c r="I255" s="968"/>
      <c r="J255" s="968"/>
      <c r="K255" s="967"/>
      <c r="L255" s="967"/>
      <c r="M255" s="967"/>
      <c r="N255" s="967"/>
      <c r="O255" s="1007"/>
      <c r="P255" s="1007"/>
      <c r="Q255" s="1008"/>
    </row>
    <row r="256" spans="1:17" hidden="1">
      <c r="A256" s="966"/>
      <c r="B256" s="967"/>
      <c r="C256" s="967">
        <v>220</v>
      </c>
      <c r="D256" s="967"/>
      <c r="E256" s="968"/>
      <c r="F256" s="968"/>
      <c r="G256" s="968"/>
      <c r="H256" s="968"/>
      <c r="I256" s="968"/>
      <c r="J256" s="968"/>
      <c r="K256" s="967"/>
      <c r="L256" s="967"/>
      <c r="M256" s="967"/>
      <c r="N256" s="967"/>
      <c r="O256" s="1007"/>
      <c r="P256" s="1007"/>
      <c r="Q256" s="1008"/>
    </row>
    <row r="257" spans="1:17" hidden="1">
      <c r="A257" s="966"/>
      <c r="B257" s="967"/>
      <c r="C257" s="967">
        <v>221</v>
      </c>
      <c r="D257" s="967"/>
      <c r="E257" s="968"/>
      <c r="F257" s="968"/>
      <c r="G257" s="968"/>
      <c r="H257" s="968"/>
      <c r="I257" s="968"/>
      <c r="J257" s="968"/>
      <c r="K257" s="967"/>
      <c r="L257" s="967"/>
      <c r="M257" s="967"/>
      <c r="N257" s="967"/>
      <c r="O257" s="1007"/>
      <c r="P257" s="1007"/>
      <c r="Q257" s="1008"/>
    </row>
    <row r="258" spans="1:17" hidden="1">
      <c r="A258" s="966"/>
      <c r="B258" s="967"/>
      <c r="C258" s="967">
        <v>222</v>
      </c>
      <c r="D258" s="967"/>
      <c r="E258" s="968"/>
      <c r="F258" s="968"/>
      <c r="G258" s="968"/>
      <c r="H258" s="968"/>
      <c r="I258" s="968"/>
      <c r="J258" s="968"/>
      <c r="K258" s="967"/>
      <c r="L258" s="967"/>
      <c r="M258" s="967"/>
      <c r="N258" s="967"/>
      <c r="O258" s="1007"/>
      <c r="P258" s="1007"/>
      <c r="Q258" s="1008"/>
    </row>
    <row r="259" spans="1:17" hidden="1">
      <c r="A259" s="966"/>
      <c r="B259" s="967"/>
      <c r="C259" s="967">
        <v>223</v>
      </c>
      <c r="D259" s="967"/>
      <c r="E259" s="968"/>
      <c r="F259" s="968"/>
      <c r="G259" s="968"/>
      <c r="H259" s="968"/>
      <c r="I259" s="968"/>
      <c r="J259" s="968"/>
      <c r="K259" s="967"/>
      <c r="L259" s="967"/>
      <c r="M259" s="967"/>
      <c r="N259" s="967"/>
      <c r="O259" s="1007"/>
      <c r="P259" s="1007"/>
      <c r="Q259" s="1008"/>
    </row>
    <row r="260" spans="1:17" hidden="1">
      <c r="A260" s="966"/>
      <c r="B260" s="967"/>
      <c r="C260" s="967">
        <v>224</v>
      </c>
      <c r="D260" s="967"/>
      <c r="E260" s="968"/>
      <c r="F260" s="968"/>
      <c r="G260" s="968"/>
      <c r="H260" s="968"/>
      <c r="I260" s="968"/>
      <c r="J260" s="968"/>
      <c r="K260" s="967"/>
      <c r="L260" s="967"/>
      <c r="M260" s="967"/>
      <c r="N260" s="967"/>
      <c r="O260" s="1007"/>
      <c r="P260" s="1007"/>
      <c r="Q260" s="1008"/>
    </row>
    <row r="261" spans="1:17" hidden="1">
      <c r="A261" s="966"/>
      <c r="B261" s="967"/>
      <c r="C261" s="967">
        <v>225</v>
      </c>
      <c r="D261" s="967"/>
      <c r="E261" s="968"/>
      <c r="F261" s="968"/>
      <c r="G261" s="968"/>
      <c r="H261" s="968"/>
      <c r="I261" s="968"/>
      <c r="J261" s="968"/>
      <c r="K261" s="967"/>
      <c r="L261" s="967"/>
      <c r="M261" s="967"/>
      <c r="N261" s="967"/>
      <c r="O261" s="1007"/>
      <c r="P261" s="1007"/>
      <c r="Q261" s="1008"/>
    </row>
    <row r="262" spans="1:17" hidden="1">
      <c r="A262" s="966"/>
      <c r="B262" s="967"/>
      <c r="C262" s="967">
        <v>226</v>
      </c>
      <c r="D262" s="967"/>
      <c r="E262" s="968"/>
      <c r="F262" s="968"/>
      <c r="G262" s="968"/>
      <c r="H262" s="968"/>
      <c r="I262" s="968"/>
      <c r="J262" s="968"/>
      <c r="K262" s="967"/>
      <c r="L262" s="967"/>
      <c r="M262" s="967"/>
      <c r="N262" s="967"/>
      <c r="O262" s="1007"/>
      <c r="P262" s="1007"/>
      <c r="Q262" s="1008"/>
    </row>
    <row r="263" spans="1:17" hidden="1">
      <c r="A263" s="966"/>
      <c r="B263" s="967"/>
      <c r="C263" s="967">
        <v>227</v>
      </c>
      <c r="D263" s="967"/>
      <c r="E263" s="968"/>
      <c r="F263" s="968"/>
      <c r="G263" s="968"/>
      <c r="H263" s="968"/>
      <c r="I263" s="968"/>
      <c r="J263" s="968"/>
      <c r="K263" s="967"/>
      <c r="L263" s="967"/>
      <c r="M263" s="967"/>
      <c r="N263" s="967"/>
      <c r="O263" s="1007"/>
      <c r="P263" s="1007"/>
      <c r="Q263" s="1008"/>
    </row>
    <row r="264" spans="1:17" hidden="1">
      <c r="A264" s="966"/>
      <c r="B264" s="967"/>
      <c r="C264" s="967">
        <v>228</v>
      </c>
      <c r="D264" s="967"/>
      <c r="E264" s="968"/>
      <c r="F264" s="968"/>
      <c r="G264" s="968"/>
      <c r="H264" s="968"/>
      <c r="I264" s="968"/>
      <c r="J264" s="968"/>
      <c r="K264" s="967"/>
      <c r="L264" s="967"/>
      <c r="M264" s="967"/>
      <c r="N264" s="967"/>
      <c r="O264" s="1007"/>
      <c r="P264" s="1007"/>
      <c r="Q264" s="1008"/>
    </row>
    <row r="265" spans="1:17" hidden="1">
      <c r="A265" s="966"/>
      <c r="B265" s="967"/>
      <c r="C265" s="967">
        <v>229</v>
      </c>
      <c r="D265" s="967"/>
      <c r="E265" s="968"/>
      <c r="F265" s="968"/>
      <c r="G265" s="968"/>
      <c r="H265" s="968"/>
      <c r="I265" s="968"/>
      <c r="J265" s="968"/>
      <c r="K265" s="967"/>
      <c r="L265" s="967"/>
      <c r="M265" s="967"/>
      <c r="N265" s="967"/>
      <c r="O265" s="1007"/>
      <c r="P265" s="1007"/>
      <c r="Q265" s="1008"/>
    </row>
    <row r="266" spans="1:17" hidden="1">
      <c r="A266" s="966"/>
      <c r="B266" s="967"/>
      <c r="C266" s="967">
        <v>230</v>
      </c>
      <c r="D266" s="967"/>
      <c r="E266" s="968"/>
      <c r="F266" s="968"/>
      <c r="G266" s="968"/>
      <c r="H266" s="968"/>
      <c r="I266" s="968"/>
      <c r="J266" s="968"/>
      <c r="K266" s="967"/>
      <c r="L266" s="967"/>
      <c r="M266" s="967"/>
      <c r="N266" s="967"/>
      <c r="O266" s="1007"/>
      <c r="P266" s="1007"/>
      <c r="Q266" s="1008"/>
    </row>
    <row r="267" spans="1:17" hidden="1">
      <c r="A267" s="966"/>
      <c r="B267" s="967"/>
      <c r="C267" s="967">
        <v>231</v>
      </c>
      <c r="D267" s="967"/>
      <c r="E267" s="968"/>
      <c r="F267" s="968"/>
      <c r="G267" s="968"/>
      <c r="H267" s="968"/>
      <c r="I267" s="968"/>
      <c r="J267" s="968"/>
      <c r="K267" s="967"/>
      <c r="L267" s="967"/>
      <c r="M267" s="967"/>
      <c r="N267" s="967"/>
      <c r="O267" s="1007"/>
      <c r="P267" s="1007"/>
      <c r="Q267" s="1008"/>
    </row>
    <row r="268" spans="1:17" hidden="1">
      <c r="A268" s="966"/>
      <c r="B268" s="967"/>
      <c r="C268" s="967">
        <v>232</v>
      </c>
      <c r="D268" s="967"/>
      <c r="E268" s="968"/>
      <c r="F268" s="968"/>
      <c r="G268" s="968"/>
      <c r="H268" s="968"/>
      <c r="I268" s="968"/>
      <c r="J268" s="968"/>
      <c r="K268" s="967"/>
      <c r="L268" s="967"/>
      <c r="M268" s="967"/>
      <c r="N268" s="967"/>
      <c r="O268" s="1007"/>
      <c r="P268" s="1007"/>
      <c r="Q268" s="1008"/>
    </row>
    <row r="269" spans="1:17" hidden="1">
      <c r="A269" s="966"/>
      <c r="B269" s="967"/>
      <c r="C269" s="967">
        <v>233</v>
      </c>
      <c r="D269" s="967"/>
      <c r="E269" s="968"/>
      <c r="F269" s="968"/>
      <c r="G269" s="968"/>
      <c r="H269" s="968"/>
      <c r="I269" s="968"/>
      <c r="J269" s="968"/>
      <c r="K269" s="967"/>
      <c r="L269" s="967"/>
      <c r="M269" s="967"/>
      <c r="N269" s="967"/>
      <c r="O269" s="1007"/>
      <c r="P269" s="1007"/>
      <c r="Q269" s="1008"/>
    </row>
    <row r="270" spans="1:17" hidden="1">
      <c r="A270" s="966"/>
      <c r="B270" s="967"/>
      <c r="C270" s="967">
        <v>234</v>
      </c>
      <c r="D270" s="967"/>
      <c r="E270" s="968"/>
      <c r="F270" s="968"/>
      <c r="G270" s="968"/>
      <c r="H270" s="968"/>
      <c r="I270" s="968"/>
      <c r="J270" s="968"/>
      <c r="K270" s="967"/>
      <c r="L270" s="967"/>
      <c r="M270" s="967"/>
      <c r="N270" s="967"/>
      <c r="O270" s="1007"/>
      <c r="P270" s="1007"/>
      <c r="Q270" s="1008"/>
    </row>
    <row r="271" spans="1:17" hidden="1">
      <c r="A271" s="966"/>
      <c r="B271" s="967"/>
      <c r="C271" s="967">
        <v>235</v>
      </c>
      <c r="D271" s="967"/>
      <c r="E271" s="968"/>
      <c r="F271" s="968"/>
      <c r="G271" s="968"/>
      <c r="H271" s="968"/>
      <c r="I271" s="968"/>
      <c r="J271" s="968"/>
      <c r="K271" s="967"/>
      <c r="L271" s="967"/>
      <c r="M271" s="967"/>
      <c r="N271" s="967"/>
      <c r="O271" s="1007"/>
      <c r="P271" s="1007"/>
      <c r="Q271" s="1008"/>
    </row>
    <row r="272" spans="1:17" hidden="1">
      <c r="A272" s="966"/>
      <c r="B272" s="967"/>
      <c r="C272" s="967">
        <v>236</v>
      </c>
      <c r="D272" s="967"/>
      <c r="E272" s="968"/>
      <c r="F272" s="968"/>
      <c r="G272" s="968"/>
      <c r="H272" s="968"/>
      <c r="I272" s="968"/>
      <c r="J272" s="968"/>
      <c r="K272" s="967"/>
      <c r="L272" s="967"/>
      <c r="M272" s="967"/>
      <c r="N272" s="967"/>
      <c r="O272" s="1007"/>
      <c r="P272" s="1007"/>
      <c r="Q272" s="1008"/>
    </row>
    <row r="273" spans="1:17" hidden="1">
      <c r="A273" s="966"/>
      <c r="B273" s="967"/>
      <c r="C273" s="967">
        <v>237</v>
      </c>
      <c r="D273" s="967"/>
      <c r="E273" s="968"/>
      <c r="F273" s="968"/>
      <c r="G273" s="968"/>
      <c r="H273" s="968"/>
      <c r="I273" s="968"/>
      <c r="J273" s="968"/>
      <c r="K273" s="967"/>
      <c r="L273" s="967"/>
      <c r="M273" s="967"/>
      <c r="N273" s="967"/>
      <c r="O273" s="1007"/>
      <c r="P273" s="1007"/>
      <c r="Q273" s="1008"/>
    </row>
    <row r="274" spans="1:17" hidden="1">
      <c r="A274" s="966"/>
      <c r="B274" s="967"/>
      <c r="C274" s="967">
        <v>238</v>
      </c>
      <c r="D274" s="967"/>
      <c r="E274" s="968"/>
      <c r="F274" s="968"/>
      <c r="G274" s="968"/>
      <c r="H274" s="968"/>
      <c r="I274" s="968"/>
      <c r="J274" s="968"/>
      <c r="K274" s="967"/>
      <c r="L274" s="967"/>
      <c r="M274" s="967"/>
      <c r="N274" s="967"/>
      <c r="O274" s="1007"/>
      <c r="P274" s="1007"/>
      <c r="Q274" s="1008"/>
    </row>
    <row r="275" spans="1:17" hidden="1">
      <c r="A275" s="966"/>
      <c r="B275" s="967"/>
      <c r="C275" s="967">
        <v>239</v>
      </c>
      <c r="D275" s="967"/>
      <c r="E275" s="968"/>
      <c r="F275" s="968"/>
      <c r="G275" s="968"/>
      <c r="H275" s="968"/>
      <c r="I275" s="968"/>
      <c r="J275" s="968"/>
      <c r="K275" s="967"/>
      <c r="L275" s="967"/>
      <c r="M275" s="967"/>
      <c r="N275" s="967"/>
      <c r="O275" s="1007"/>
      <c r="P275" s="1007"/>
      <c r="Q275" s="1008"/>
    </row>
    <row r="276" spans="1:17" hidden="1">
      <c r="A276" s="966"/>
      <c r="B276" s="967"/>
      <c r="C276" s="967">
        <v>240</v>
      </c>
      <c r="D276" s="967"/>
      <c r="E276" s="968"/>
      <c r="F276" s="968"/>
      <c r="G276" s="968"/>
      <c r="H276" s="968"/>
      <c r="I276" s="968"/>
      <c r="J276" s="968"/>
      <c r="K276" s="967"/>
      <c r="L276" s="967"/>
      <c r="M276" s="967"/>
      <c r="N276" s="967"/>
      <c r="O276" s="1007"/>
      <c r="P276" s="1007"/>
      <c r="Q276" s="1008"/>
    </row>
    <row r="277" spans="1:17" hidden="1">
      <c r="A277" s="966"/>
      <c r="B277" s="967"/>
      <c r="C277" s="967">
        <v>241</v>
      </c>
      <c r="D277" s="967"/>
      <c r="E277" s="968"/>
      <c r="F277" s="968"/>
      <c r="G277" s="968"/>
      <c r="H277" s="968"/>
      <c r="I277" s="968"/>
      <c r="J277" s="968"/>
      <c r="K277" s="967"/>
      <c r="L277" s="967"/>
      <c r="M277" s="967"/>
      <c r="N277" s="967"/>
      <c r="O277" s="1007"/>
      <c r="P277" s="1007"/>
      <c r="Q277" s="1008"/>
    </row>
    <row r="278" spans="1:17" hidden="1">
      <c r="A278" s="966"/>
      <c r="B278" s="967"/>
      <c r="C278" s="967">
        <v>242</v>
      </c>
      <c r="D278" s="967"/>
      <c r="E278" s="968"/>
      <c r="F278" s="968"/>
      <c r="G278" s="968"/>
      <c r="H278" s="968"/>
      <c r="I278" s="968"/>
      <c r="J278" s="968"/>
      <c r="K278" s="967"/>
      <c r="L278" s="967"/>
      <c r="M278" s="967"/>
      <c r="N278" s="967"/>
      <c r="O278" s="1007"/>
      <c r="P278" s="1007"/>
      <c r="Q278" s="1008"/>
    </row>
    <row r="279" spans="1:17" hidden="1">
      <c r="A279" s="966"/>
      <c r="B279" s="967"/>
      <c r="C279" s="967">
        <v>243</v>
      </c>
      <c r="D279" s="967"/>
      <c r="E279" s="968"/>
      <c r="F279" s="968"/>
      <c r="G279" s="968"/>
      <c r="H279" s="968"/>
      <c r="I279" s="968"/>
      <c r="J279" s="968"/>
      <c r="K279" s="967"/>
      <c r="L279" s="967"/>
      <c r="M279" s="967"/>
      <c r="N279" s="967"/>
      <c r="O279" s="1007"/>
      <c r="P279" s="1007"/>
      <c r="Q279" s="1008"/>
    </row>
    <row r="280" spans="1:17" hidden="1">
      <c r="A280" s="966"/>
      <c r="B280" s="967"/>
      <c r="C280" s="967">
        <v>244</v>
      </c>
      <c r="D280" s="967"/>
      <c r="E280" s="968"/>
      <c r="F280" s="968"/>
      <c r="G280" s="968"/>
      <c r="H280" s="968"/>
      <c r="I280" s="968"/>
      <c r="J280" s="968"/>
      <c r="K280" s="967"/>
      <c r="L280" s="967"/>
      <c r="M280" s="967"/>
      <c r="N280" s="967"/>
      <c r="O280" s="1007"/>
      <c r="P280" s="1007"/>
      <c r="Q280" s="1008"/>
    </row>
    <row r="281" spans="1:17" hidden="1">
      <c r="A281" s="966"/>
      <c r="B281" s="967"/>
      <c r="C281" s="967">
        <v>245</v>
      </c>
      <c r="D281" s="967"/>
      <c r="E281" s="968"/>
      <c r="F281" s="968"/>
      <c r="G281" s="968"/>
      <c r="H281" s="968"/>
      <c r="I281" s="968"/>
      <c r="J281" s="968"/>
      <c r="K281" s="967"/>
      <c r="L281" s="967"/>
      <c r="M281" s="967"/>
      <c r="N281" s="967"/>
      <c r="O281" s="1007"/>
      <c r="P281" s="1007"/>
      <c r="Q281" s="1008"/>
    </row>
    <row r="282" spans="1:17" hidden="1">
      <c r="A282" s="966"/>
      <c r="B282" s="967"/>
      <c r="C282" s="967">
        <v>246</v>
      </c>
      <c r="D282" s="967"/>
      <c r="E282" s="968"/>
      <c r="F282" s="968"/>
      <c r="G282" s="968"/>
      <c r="H282" s="968"/>
      <c r="I282" s="968"/>
      <c r="J282" s="968"/>
      <c r="K282" s="967"/>
      <c r="L282" s="967"/>
      <c r="M282" s="967"/>
      <c r="N282" s="967"/>
      <c r="O282" s="1007"/>
      <c r="P282" s="1007"/>
      <c r="Q282" s="1008"/>
    </row>
    <row r="283" spans="1:17" hidden="1">
      <c r="A283" s="966"/>
      <c r="B283" s="967"/>
      <c r="C283" s="967">
        <v>247</v>
      </c>
      <c r="D283" s="967"/>
      <c r="E283" s="968"/>
      <c r="F283" s="968"/>
      <c r="G283" s="968"/>
      <c r="H283" s="968"/>
      <c r="I283" s="968"/>
      <c r="J283" s="968"/>
      <c r="K283" s="967"/>
      <c r="L283" s="967"/>
      <c r="M283" s="967"/>
      <c r="N283" s="967"/>
      <c r="O283" s="1007"/>
      <c r="P283" s="1007"/>
      <c r="Q283" s="1008"/>
    </row>
    <row r="284" spans="1:17" hidden="1">
      <c r="A284" s="966"/>
      <c r="B284" s="967"/>
      <c r="C284" s="967">
        <v>248</v>
      </c>
      <c r="D284" s="967"/>
      <c r="E284" s="968"/>
      <c r="F284" s="968"/>
      <c r="G284" s="968"/>
      <c r="H284" s="968"/>
      <c r="I284" s="968"/>
      <c r="J284" s="968"/>
      <c r="K284" s="967"/>
      <c r="L284" s="967"/>
      <c r="M284" s="967"/>
      <c r="N284" s="967"/>
      <c r="O284" s="1007"/>
      <c r="P284" s="1007"/>
      <c r="Q284" s="1008"/>
    </row>
    <row r="285" spans="1:17" hidden="1">
      <c r="A285" s="966"/>
      <c r="B285" s="967"/>
      <c r="C285" s="967">
        <v>249</v>
      </c>
      <c r="D285" s="967"/>
      <c r="E285" s="968"/>
      <c r="F285" s="968"/>
      <c r="G285" s="968"/>
      <c r="H285" s="968"/>
      <c r="I285" s="968"/>
      <c r="J285" s="968"/>
      <c r="K285" s="967"/>
      <c r="L285" s="967"/>
      <c r="M285" s="967"/>
      <c r="N285" s="967"/>
      <c r="O285" s="1007"/>
      <c r="P285" s="1007"/>
      <c r="Q285" s="1008"/>
    </row>
    <row r="286" spans="1:17" hidden="1">
      <c r="A286" s="966"/>
      <c r="B286" s="967"/>
      <c r="C286" s="967">
        <v>250</v>
      </c>
      <c r="D286" s="967"/>
      <c r="E286" s="968"/>
      <c r="F286" s="968"/>
      <c r="G286" s="968"/>
      <c r="H286" s="968"/>
      <c r="I286" s="968"/>
      <c r="J286" s="968"/>
      <c r="K286" s="967"/>
      <c r="L286" s="967"/>
      <c r="M286" s="967"/>
      <c r="N286" s="967"/>
      <c r="O286" s="1007"/>
      <c r="P286" s="1007"/>
      <c r="Q286" s="1008"/>
    </row>
    <row r="287" spans="1:17" hidden="1">
      <c r="A287" s="966"/>
      <c r="B287" s="967"/>
      <c r="C287" s="967">
        <v>251</v>
      </c>
      <c r="D287" s="967"/>
      <c r="E287" s="968"/>
      <c r="F287" s="968"/>
      <c r="G287" s="968"/>
      <c r="H287" s="968"/>
      <c r="I287" s="968"/>
      <c r="J287" s="968"/>
      <c r="K287" s="967"/>
      <c r="L287" s="967"/>
      <c r="M287" s="967"/>
      <c r="N287" s="967"/>
      <c r="O287" s="1007"/>
      <c r="P287" s="1007"/>
      <c r="Q287" s="1008"/>
    </row>
    <row r="288" spans="1:17" hidden="1">
      <c r="A288" s="966"/>
      <c r="B288" s="967"/>
      <c r="C288" s="967">
        <v>252</v>
      </c>
      <c r="D288" s="967"/>
      <c r="E288" s="968"/>
      <c r="F288" s="968"/>
      <c r="G288" s="968"/>
      <c r="H288" s="968"/>
      <c r="I288" s="968"/>
      <c r="J288" s="968"/>
      <c r="K288" s="967"/>
      <c r="L288" s="967"/>
      <c r="M288" s="967"/>
      <c r="N288" s="967"/>
      <c r="O288" s="1007"/>
      <c r="P288" s="1007"/>
      <c r="Q288" s="1008"/>
    </row>
    <row r="289" spans="1:17" hidden="1">
      <c r="A289" s="966"/>
      <c r="B289" s="967"/>
      <c r="C289" s="967">
        <v>253</v>
      </c>
      <c r="D289" s="967"/>
      <c r="E289" s="968"/>
      <c r="F289" s="968"/>
      <c r="G289" s="968"/>
      <c r="H289" s="968"/>
      <c r="I289" s="968"/>
      <c r="J289" s="968"/>
      <c r="K289" s="967"/>
      <c r="L289" s="967"/>
      <c r="M289" s="967"/>
      <c r="N289" s="967"/>
      <c r="O289" s="1007"/>
      <c r="P289" s="1007"/>
      <c r="Q289" s="1008"/>
    </row>
    <row r="290" spans="1:17" hidden="1">
      <c r="A290" s="966"/>
      <c r="B290" s="967"/>
      <c r="C290" s="967">
        <v>254</v>
      </c>
      <c r="D290" s="967"/>
      <c r="E290" s="968"/>
      <c r="F290" s="968"/>
      <c r="G290" s="968"/>
      <c r="H290" s="968"/>
      <c r="I290" s="968"/>
      <c r="J290" s="968"/>
      <c r="K290" s="967"/>
      <c r="L290" s="967"/>
      <c r="M290" s="967"/>
      <c r="N290" s="967"/>
      <c r="O290" s="1007"/>
      <c r="P290" s="1007"/>
      <c r="Q290" s="1008"/>
    </row>
    <row r="291" spans="1:17" hidden="1">
      <c r="A291" s="966"/>
      <c r="B291" s="967"/>
      <c r="C291" s="967">
        <v>255</v>
      </c>
      <c r="D291" s="967"/>
      <c r="E291" s="968"/>
      <c r="F291" s="968"/>
      <c r="G291" s="968"/>
      <c r="H291" s="968"/>
      <c r="I291" s="968"/>
      <c r="J291" s="968"/>
      <c r="K291" s="967"/>
      <c r="L291" s="967"/>
      <c r="M291" s="967"/>
      <c r="N291" s="967"/>
      <c r="O291" s="1007"/>
      <c r="P291" s="1007"/>
      <c r="Q291" s="1008"/>
    </row>
    <row r="292" spans="1:17" hidden="1">
      <c r="A292" s="966"/>
      <c r="B292" s="967"/>
      <c r="C292" s="967">
        <v>256</v>
      </c>
      <c r="D292" s="967"/>
      <c r="E292" s="968"/>
      <c r="F292" s="968"/>
      <c r="G292" s="968"/>
      <c r="H292" s="968"/>
      <c r="I292" s="968"/>
      <c r="J292" s="968"/>
      <c r="K292" s="967"/>
      <c r="L292" s="967"/>
      <c r="M292" s="967"/>
      <c r="N292" s="967"/>
      <c r="O292" s="1007"/>
      <c r="P292" s="1007"/>
      <c r="Q292" s="1008"/>
    </row>
    <row r="293" spans="1:17" hidden="1">
      <c r="A293" s="966"/>
      <c r="B293" s="967"/>
      <c r="C293" s="967">
        <v>257</v>
      </c>
      <c r="D293" s="967"/>
      <c r="E293" s="968"/>
      <c r="F293" s="968"/>
      <c r="G293" s="968"/>
      <c r="H293" s="968"/>
      <c r="I293" s="968"/>
      <c r="J293" s="968"/>
      <c r="K293" s="967"/>
      <c r="L293" s="967"/>
      <c r="M293" s="967"/>
      <c r="N293" s="967"/>
      <c r="O293" s="1007"/>
      <c r="P293" s="1007"/>
      <c r="Q293" s="1008"/>
    </row>
    <row r="294" spans="1:17" hidden="1">
      <c r="A294" s="966"/>
      <c r="B294" s="967"/>
      <c r="C294" s="967">
        <v>258</v>
      </c>
      <c r="D294" s="967"/>
      <c r="E294" s="968"/>
      <c r="F294" s="968"/>
      <c r="G294" s="968"/>
      <c r="H294" s="968"/>
      <c r="I294" s="968"/>
      <c r="J294" s="968"/>
      <c r="K294" s="967"/>
      <c r="L294" s="967"/>
      <c r="M294" s="967"/>
      <c r="N294" s="967"/>
      <c r="O294" s="1007"/>
      <c r="P294" s="1007"/>
      <c r="Q294" s="1008"/>
    </row>
    <row r="295" spans="1:17" hidden="1">
      <c r="A295" s="966"/>
      <c r="B295" s="967"/>
      <c r="C295" s="967">
        <v>259</v>
      </c>
      <c r="D295" s="967"/>
      <c r="E295" s="968"/>
      <c r="F295" s="968"/>
      <c r="G295" s="968"/>
      <c r="H295" s="968"/>
      <c r="I295" s="968"/>
      <c r="J295" s="968"/>
      <c r="K295" s="967"/>
      <c r="L295" s="967"/>
      <c r="M295" s="967"/>
      <c r="N295" s="967"/>
      <c r="O295" s="1007"/>
      <c r="P295" s="1007"/>
      <c r="Q295" s="1008"/>
    </row>
    <row r="296" spans="1:17" hidden="1">
      <c r="A296" s="966"/>
      <c r="B296" s="967"/>
      <c r="C296" s="967">
        <v>260</v>
      </c>
      <c r="D296" s="967"/>
      <c r="E296" s="968"/>
      <c r="F296" s="968"/>
      <c r="G296" s="968"/>
      <c r="H296" s="968"/>
      <c r="I296" s="968"/>
      <c r="J296" s="968"/>
      <c r="K296" s="967"/>
      <c r="L296" s="967"/>
      <c r="M296" s="967"/>
      <c r="N296" s="967"/>
      <c r="O296" s="1007"/>
      <c r="P296" s="1007"/>
      <c r="Q296" s="1008"/>
    </row>
    <row r="297" spans="1:17" hidden="1">
      <c r="A297" s="966"/>
      <c r="B297" s="967"/>
      <c r="C297" s="967">
        <v>261</v>
      </c>
      <c r="D297" s="967"/>
      <c r="E297" s="968"/>
      <c r="F297" s="968"/>
      <c r="G297" s="968"/>
      <c r="H297" s="968"/>
      <c r="I297" s="968"/>
      <c r="J297" s="968"/>
      <c r="K297" s="967"/>
      <c r="L297" s="967"/>
      <c r="M297" s="967"/>
      <c r="N297" s="967"/>
      <c r="O297" s="1007"/>
      <c r="P297" s="1007"/>
      <c r="Q297" s="1008"/>
    </row>
    <row r="298" spans="1:17" hidden="1">
      <c r="A298" s="966"/>
      <c r="B298" s="967"/>
      <c r="C298" s="967">
        <v>262</v>
      </c>
      <c r="D298" s="967"/>
      <c r="E298" s="968"/>
      <c r="F298" s="968"/>
      <c r="G298" s="968"/>
      <c r="H298" s="968"/>
      <c r="I298" s="968"/>
      <c r="J298" s="968"/>
      <c r="K298" s="967"/>
      <c r="L298" s="967"/>
      <c r="M298" s="967"/>
      <c r="N298" s="967"/>
      <c r="O298" s="1007"/>
      <c r="P298" s="1007"/>
      <c r="Q298" s="1008"/>
    </row>
    <row r="299" spans="1:17" hidden="1">
      <c r="A299" s="966"/>
      <c r="B299" s="967"/>
      <c r="C299" s="967">
        <v>263</v>
      </c>
      <c r="D299" s="967"/>
      <c r="E299" s="968"/>
      <c r="F299" s="968"/>
      <c r="G299" s="968"/>
      <c r="H299" s="968"/>
      <c r="I299" s="968"/>
      <c r="J299" s="968"/>
      <c r="K299" s="967"/>
      <c r="L299" s="967"/>
      <c r="M299" s="967"/>
      <c r="N299" s="967"/>
      <c r="O299" s="1007"/>
      <c r="P299" s="1007"/>
      <c r="Q299" s="1008"/>
    </row>
    <row r="300" spans="1:17" hidden="1">
      <c r="A300" s="966"/>
      <c r="B300" s="967"/>
      <c r="C300" s="967">
        <v>264</v>
      </c>
      <c r="D300" s="967"/>
      <c r="E300" s="968"/>
      <c r="F300" s="968"/>
      <c r="G300" s="968"/>
      <c r="H300" s="968"/>
      <c r="I300" s="968"/>
      <c r="J300" s="968"/>
      <c r="K300" s="967"/>
      <c r="L300" s="967"/>
      <c r="M300" s="967"/>
      <c r="N300" s="967"/>
      <c r="O300" s="1007"/>
      <c r="P300" s="1007"/>
      <c r="Q300" s="1008"/>
    </row>
    <row r="301" spans="1:17" hidden="1">
      <c r="A301" s="966"/>
      <c r="B301" s="967"/>
      <c r="C301" s="967">
        <v>265</v>
      </c>
      <c r="D301" s="967"/>
      <c r="E301" s="968"/>
      <c r="F301" s="968"/>
      <c r="G301" s="968"/>
      <c r="H301" s="968"/>
      <c r="I301" s="968"/>
      <c r="J301" s="968"/>
      <c r="K301" s="967"/>
      <c r="L301" s="967"/>
      <c r="M301" s="967"/>
      <c r="N301" s="967"/>
      <c r="O301" s="1007"/>
      <c r="P301" s="1007"/>
      <c r="Q301" s="1008"/>
    </row>
    <row r="302" spans="1:17" hidden="1">
      <c r="A302" s="966"/>
      <c r="B302" s="967"/>
      <c r="C302" s="967">
        <v>266</v>
      </c>
      <c r="D302" s="967"/>
      <c r="E302" s="968"/>
      <c r="F302" s="968"/>
      <c r="G302" s="968"/>
      <c r="H302" s="968"/>
      <c r="I302" s="968"/>
      <c r="J302" s="968"/>
      <c r="K302" s="967"/>
      <c r="L302" s="967"/>
      <c r="M302" s="967"/>
      <c r="N302" s="967"/>
      <c r="O302" s="1007"/>
      <c r="P302" s="1007"/>
      <c r="Q302" s="1008"/>
    </row>
    <row r="303" spans="1:17" hidden="1">
      <c r="A303" s="966"/>
      <c r="B303" s="967"/>
      <c r="C303" s="967">
        <v>267</v>
      </c>
      <c r="D303" s="967"/>
      <c r="E303" s="968"/>
      <c r="F303" s="968"/>
      <c r="G303" s="968"/>
      <c r="H303" s="968"/>
      <c r="I303" s="968"/>
      <c r="J303" s="968"/>
      <c r="K303" s="967"/>
      <c r="L303" s="967"/>
      <c r="M303" s="967"/>
      <c r="N303" s="967"/>
      <c r="O303" s="1007"/>
      <c r="P303" s="1007"/>
      <c r="Q303" s="1008"/>
    </row>
    <row r="304" spans="1:17" hidden="1">
      <c r="A304" s="966"/>
      <c r="B304" s="967"/>
      <c r="C304" s="967">
        <v>268</v>
      </c>
      <c r="D304" s="967"/>
      <c r="E304" s="968"/>
      <c r="F304" s="968"/>
      <c r="G304" s="968"/>
      <c r="H304" s="968"/>
      <c r="I304" s="968"/>
      <c r="J304" s="968"/>
      <c r="K304" s="967"/>
      <c r="L304" s="967"/>
      <c r="M304" s="967"/>
      <c r="N304" s="967"/>
      <c r="O304" s="1007"/>
      <c r="P304" s="1007"/>
      <c r="Q304" s="1008"/>
    </row>
    <row r="305" spans="1:17" hidden="1">
      <c r="A305" s="966"/>
      <c r="B305" s="967"/>
      <c r="C305" s="967">
        <v>269</v>
      </c>
      <c r="D305" s="967"/>
      <c r="E305" s="968"/>
      <c r="F305" s="968"/>
      <c r="G305" s="968"/>
      <c r="H305" s="968"/>
      <c r="I305" s="968"/>
      <c r="J305" s="968"/>
      <c r="K305" s="967"/>
      <c r="L305" s="967"/>
      <c r="M305" s="967"/>
      <c r="N305" s="967"/>
      <c r="O305" s="1007"/>
      <c r="P305" s="1007"/>
      <c r="Q305" s="1008"/>
    </row>
    <row r="306" spans="1:17" hidden="1">
      <c r="A306" s="966"/>
      <c r="B306" s="967"/>
      <c r="C306" s="967">
        <v>270</v>
      </c>
      <c r="D306" s="967"/>
      <c r="E306" s="968"/>
      <c r="F306" s="968"/>
      <c r="G306" s="968"/>
      <c r="H306" s="968"/>
      <c r="I306" s="968"/>
      <c r="J306" s="968"/>
      <c r="K306" s="967"/>
      <c r="L306" s="967"/>
      <c r="M306" s="967"/>
      <c r="N306" s="967"/>
      <c r="O306" s="1007"/>
      <c r="P306" s="1007"/>
      <c r="Q306" s="1008"/>
    </row>
    <row r="307" spans="1:17" hidden="1">
      <c r="A307" s="966"/>
      <c r="B307" s="967"/>
      <c r="C307" s="967">
        <v>271</v>
      </c>
      <c r="D307" s="967"/>
      <c r="E307" s="968"/>
      <c r="F307" s="968"/>
      <c r="G307" s="968"/>
      <c r="H307" s="968"/>
      <c r="I307" s="968"/>
      <c r="J307" s="968"/>
      <c r="K307" s="967"/>
      <c r="L307" s="967"/>
      <c r="M307" s="967"/>
      <c r="N307" s="967"/>
      <c r="O307" s="1007"/>
      <c r="P307" s="1007"/>
      <c r="Q307" s="1008"/>
    </row>
    <row r="308" spans="1:17" hidden="1">
      <c r="A308" s="966"/>
      <c r="B308" s="967"/>
      <c r="C308" s="967">
        <v>272</v>
      </c>
      <c r="D308" s="967"/>
      <c r="E308" s="968"/>
      <c r="F308" s="968"/>
      <c r="G308" s="968"/>
      <c r="H308" s="968"/>
      <c r="I308" s="968"/>
      <c r="J308" s="968"/>
      <c r="K308" s="967"/>
      <c r="L308" s="967"/>
      <c r="M308" s="967"/>
      <c r="N308" s="967"/>
      <c r="O308" s="1007"/>
      <c r="P308" s="1007"/>
      <c r="Q308" s="1008"/>
    </row>
    <row r="309" spans="1:17" hidden="1">
      <c r="A309" s="966"/>
      <c r="B309" s="967"/>
      <c r="C309" s="967">
        <v>273</v>
      </c>
      <c r="D309" s="967"/>
      <c r="E309" s="968"/>
      <c r="F309" s="968"/>
      <c r="G309" s="968"/>
      <c r="H309" s="968"/>
      <c r="I309" s="968"/>
      <c r="J309" s="968"/>
      <c r="K309" s="967"/>
      <c r="L309" s="967"/>
      <c r="M309" s="967"/>
      <c r="N309" s="967"/>
      <c r="O309" s="1007"/>
      <c r="P309" s="1007"/>
      <c r="Q309" s="1008"/>
    </row>
    <row r="310" spans="1:17" hidden="1">
      <c r="A310" s="966"/>
      <c r="B310" s="967"/>
      <c r="C310" s="967">
        <v>274</v>
      </c>
      <c r="D310" s="967"/>
      <c r="E310" s="968"/>
      <c r="F310" s="968"/>
      <c r="G310" s="968"/>
      <c r="H310" s="968"/>
      <c r="I310" s="968"/>
      <c r="J310" s="968"/>
      <c r="K310" s="967"/>
      <c r="L310" s="967"/>
      <c r="M310" s="967"/>
      <c r="N310" s="967"/>
      <c r="O310" s="1007"/>
      <c r="P310" s="1007"/>
      <c r="Q310" s="1008"/>
    </row>
    <row r="311" spans="1:17" hidden="1">
      <c r="A311" s="966"/>
      <c r="B311" s="967"/>
      <c r="C311" s="967">
        <v>275</v>
      </c>
      <c r="D311" s="967"/>
      <c r="E311" s="968"/>
      <c r="F311" s="968"/>
      <c r="G311" s="968"/>
      <c r="H311" s="968"/>
      <c r="I311" s="968"/>
      <c r="J311" s="968"/>
      <c r="K311" s="967"/>
      <c r="L311" s="967"/>
      <c r="M311" s="967"/>
      <c r="N311" s="967"/>
      <c r="O311" s="1007"/>
      <c r="P311" s="1007"/>
      <c r="Q311" s="1008"/>
    </row>
    <row r="312" spans="1:17" hidden="1">
      <c r="A312" s="966"/>
      <c r="B312" s="967"/>
      <c r="C312" s="967">
        <v>276</v>
      </c>
      <c r="D312" s="967"/>
      <c r="E312" s="968"/>
      <c r="F312" s="968"/>
      <c r="G312" s="968"/>
      <c r="H312" s="968"/>
      <c r="I312" s="968"/>
      <c r="J312" s="968"/>
      <c r="K312" s="967"/>
      <c r="L312" s="967"/>
      <c r="M312" s="967"/>
      <c r="N312" s="967"/>
      <c r="O312" s="1007"/>
      <c r="P312" s="1007"/>
      <c r="Q312" s="1008"/>
    </row>
    <row r="313" spans="1:17" hidden="1">
      <c r="A313" s="966"/>
      <c r="B313" s="967"/>
      <c r="C313" s="967">
        <v>277</v>
      </c>
      <c r="D313" s="967"/>
      <c r="E313" s="968"/>
      <c r="F313" s="968"/>
      <c r="G313" s="968"/>
      <c r="H313" s="968"/>
      <c r="I313" s="968"/>
      <c r="J313" s="968"/>
      <c r="K313" s="967"/>
      <c r="L313" s="967"/>
      <c r="M313" s="967"/>
      <c r="N313" s="967"/>
      <c r="O313" s="1007"/>
      <c r="P313" s="1007"/>
      <c r="Q313" s="1008"/>
    </row>
    <row r="314" spans="1:17" hidden="1">
      <c r="A314" s="966"/>
      <c r="B314" s="967"/>
      <c r="C314" s="967">
        <v>278</v>
      </c>
      <c r="D314" s="967"/>
      <c r="E314" s="968"/>
      <c r="F314" s="968"/>
      <c r="G314" s="968"/>
      <c r="H314" s="968"/>
      <c r="I314" s="968"/>
      <c r="J314" s="968"/>
      <c r="K314" s="967"/>
      <c r="L314" s="967"/>
      <c r="M314" s="967"/>
      <c r="N314" s="967"/>
      <c r="O314" s="1007"/>
      <c r="P314" s="1007"/>
      <c r="Q314" s="1008"/>
    </row>
    <row r="315" spans="1:17" hidden="1">
      <c r="A315" s="966"/>
      <c r="B315" s="967"/>
      <c r="C315" s="967">
        <v>279</v>
      </c>
      <c r="D315" s="967"/>
      <c r="E315" s="968"/>
      <c r="F315" s="968"/>
      <c r="G315" s="968"/>
      <c r="H315" s="968"/>
      <c r="I315" s="968"/>
      <c r="J315" s="968"/>
      <c r="K315" s="967"/>
      <c r="L315" s="967"/>
      <c r="M315" s="967"/>
      <c r="N315" s="967"/>
      <c r="O315" s="1007"/>
      <c r="P315" s="1007"/>
      <c r="Q315" s="1008"/>
    </row>
    <row r="316" spans="1:17" hidden="1">
      <c r="A316" s="966"/>
      <c r="B316" s="967"/>
      <c r="C316" s="967">
        <v>280</v>
      </c>
      <c r="D316" s="967"/>
      <c r="E316" s="968"/>
      <c r="F316" s="968"/>
      <c r="G316" s="968"/>
      <c r="H316" s="968"/>
      <c r="I316" s="968"/>
      <c r="J316" s="968"/>
      <c r="K316" s="967"/>
      <c r="L316" s="967"/>
      <c r="M316" s="967"/>
      <c r="N316" s="967"/>
      <c r="O316" s="1007"/>
      <c r="P316" s="1007"/>
      <c r="Q316" s="1008"/>
    </row>
    <row r="317" spans="1:17" hidden="1">
      <c r="A317" s="966"/>
      <c r="B317" s="967"/>
      <c r="C317" s="967">
        <v>281</v>
      </c>
      <c r="D317" s="967"/>
      <c r="E317" s="968"/>
      <c r="F317" s="968"/>
      <c r="G317" s="968"/>
      <c r="H317" s="968"/>
      <c r="I317" s="968"/>
      <c r="J317" s="968"/>
      <c r="K317" s="967"/>
      <c r="L317" s="967"/>
      <c r="M317" s="967"/>
      <c r="N317" s="967"/>
      <c r="O317" s="1007"/>
      <c r="P317" s="1007"/>
      <c r="Q317" s="1008"/>
    </row>
    <row r="318" spans="1:17" hidden="1">
      <c r="A318" s="966"/>
      <c r="B318" s="967"/>
      <c r="C318" s="967">
        <v>282</v>
      </c>
      <c r="D318" s="967"/>
      <c r="E318" s="968"/>
      <c r="F318" s="968"/>
      <c r="G318" s="968"/>
      <c r="H318" s="968"/>
      <c r="I318" s="968"/>
      <c r="J318" s="968"/>
      <c r="K318" s="967"/>
      <c r="L318" s="967"/>
      <c r="M318" s="967"/>
      <c r="N318" s="967"/>
      <c r="O318" s="1007"/>
      <c r="P318" s="1007"/>
      <c r="Q318" s="1008"/>
    </row>
    <row r="319" spans="1:17" hidden="1">
      <c r="A319" s="966"/>
      <c r="B319" s="967"/>
      <c r="C319" s="967">
        <v>283</v>
      </c>
      <c r="D319" s="967"/>
      <c r="E319" s="968"/>
      <c r="F319" s="968"/>
      <c r="G319" s="968"/>
      <c r="H319" s="968"/>
      <c r="I319" s="968"/>
      <c r="J319" s="968"/>
      <c r="K319" s="967"/>
      <c r="L319" s="967"/>
      <c r="M319" s="967"/>
      <c r="N319" s="967"/>
      <c r="O319" s="1007"/>
      <c r="P319" s="1007"/>
      <c r="Q319" s="1008"/>
    </row>
    <row r="320" spans="1:17" hidden="1">
      <c r="A320" s="966"/>
      <c r="B320" s="967"/>
      <c r="C320" s="967">
        <v>284</v>
      </c>
      <c r="D320" s="967"/>
      <c r="E320" s="968"/>
      <c r="F320" s="968"/>
      <c r="G320" s="968"/>
      <c r="H320" s="968"/>
      <c r="I320" s="968"/>
      <c r="J320" s="968"/>
      <c r="K320" s="967"/>
      <c r="L320" s="967"/>
      <c r="M320" s="967"/>
      <c r="N320" s="967"/>
      <c r="O320" s="1007"/>
      <c r="P320" s="1007"/>
      <c r="Q320" s="1008"/>
    </row>
    <row r="321" spans="1:17" hidden="1">
      <c r="A321" s="966"/>
      <c r="B321" s="967"/>
      <c r="C321" s="967">
        <v>285</v>
      </c>
      <c r="D321" s="967"/>
      <c r="E321" s="968"/>
      <c r="F321" s="968"/>
      <c r="G321" s="968"/>
      <c r="H321" s="968"/>
      <c r="I321" s="968"/>
      <c r="J321" s="968"/>
      <c r="K321" s="967"/>
      <c r="L321" s="967"/>
      <c r="M321" s="967"/>
      <c r="N321" s="967"/>
      <c r="O321" s="1007"/>
      <c r="P321" s="1007"/>
      <c r="Q321" s="1008"/>
    </row>
    <row r="322" spans="1:17" hidden="1">
      <c r="A322" s="966"/>
      <c r="B322" s="967"/>
      <c r="C322" s="967">
        <v>286</v>
      </c>
      <c r="D322" s="967"/>
      <c r="E322" s="968"/>
      <c r="F322" s="968"/>
      <c r="G322" s="968"/>
      <c r="H322" s="968"/>
      <c r="I322" s="968"/>
      <c r="J322" s="968"/>
      <c r="K322" s="967"/>
      <c r="L322" s="967"/>
      <c r="M322" s="967"/>
      <c r="N322" s="967"/>
      <c r="O322" s="1007"/>
      <c r="P322" s="1007"/>
      <c r="Q322" s="1008"/>
    </row>
    <row r="323" spans="1:17" hidden="1">
      <c r="A323" s="966"/>
      <c r="B323" s="967"/>
      <c r="C323" s="967">
        <v>287</v>
      </c>
      <c r="D323" s="967"/>
      <c r="E323" s="968"/>
      <c r="F323" s="968"/>
      <c r="G323" s="968"/>
      <c r="H323" s="968"/>
      <c r="I323" s="968"/>
      <c r="J323" s="968"/>
      <c r="K323" s="967"/>
      <c r="L323" s="967"/>
      <c r="M323" s="967"/>
      <c r="N323" s="967"/>
      <c r="O323" s="1007"/>
      <c r="P323" s="1007"/>
      <c r="Q323" s="1008"/>
    </row>
    <row r="324" spans="1:17" hidden="1">
      <c r="A324" s="966"/>
      <c r="B324" s="967"/>
      <c r="C324" s="967">
        <v>288</v>
      </c>
      <c r="D324" s="967"/>
      <c r="E324" s="968"/>
      <c r="F324" s="968"/>
      <c r="G324" s="968"/>
      <c r="H324" s="968"/>
      <c r="I324" s="968"/>
      <c r="J324" s="968"/>
      <c r="K324" s="967"/>
      <c r="L324" s="967"/>
      <c r="M324" s="967"/>
      <c r="N324" s="967"/>
      <c r="O324" s="1007"/>
      <c r="P324" s="1007"/>
      <c r="Q324" s="1008"/>
    </row>
    <row r="325" spans="1:17" hidden="1">
      <c r="A325" s="966"/>
      <c r="B325" s="967"/>
      <c r="C325" s="967">
        <v>289</v>
      </c>
      <c r="D325" s="967"/>
      <c r="E325" s="968"/>
      <c r="F325" s="968"/>
      <c r="G325" s="968"/>
      <c r="H325" s="968"/>
      <c r="I325" s="968"/>
      <c r="J325" s="968"/>
      <c r="K325" s="967"/>
      <c r="L325" s="967"/>
      <c r="M325" s="967"/>
      <c r="N325" s="967"/>
      <c r="O325" s="1007"/>
      <c r="P325" s="1007"/>
      <c r="Q325" s="1008"/>
    </row>
    <row r="326" spans="1:17" hidden="1">
      <c r="A326" s="966"/>
      <c r="B326" s="967"/>
      <c r="C326" s="967">
        <v>290</v>
      </c>
      <c r="D326" s="967"/>
      <c r="E326" s="968"/>
      <c r="F326" s="968"/>
      <c r="G326" s="968"/>
      <c r="H326" s="968"/>
      <c r="I326" s="968"/>
      <c r="J326" s="968"/>
      <c r="K326" s="967"/>
      <c r="L326" s="967"/>
      <c r="M326" s="967"/>
      <c r="N326" s="967"/>
      <c r="O326" s="1007"/>
      <c r="P326" s="1007"/>
      <c r="Q326" s="1008"/>
    </row>
    <row r="327" spans="1:17" hidden="1">
      <c r="A327" s="966"/>
      <c r="B327" s="967"/>
      <c r="C327" s="967">
        <v>291</v>
      </c>
      <c r="D327" s="967"/>
      <c r="E327" s="968"/>
      <c r="F327" s="968"/>
      <c r="G327" s="968"/>
      <c r="H327" s="968"/>
      <c r="I327" s="968"/>
      <c r="J327" s="968"/>
      <c r="K327" s="967"/>
      <c r="L327" s="967"/>
      <c r="M327" s="967"/>
      <c r="N327" s="967"/>
      <c r="O327" s="1007"/>
      <c r="P327" s="1007"/>
      <c r="Q327" s="1008"/>
    </row>
    <row r="328" spans="1:17" hidden="1">
      <c r="A328" s="966"/>
      <c r="B328" s="967"/>
      <c r="C328" s="967">
        <v>292</v>
      </c>
      <c r="D328" s="967"/>
      <c r="E328" s="968"/>
      <c r="F328" s="968"/>
      <c r="G328" s="968"/>
      <c r="H328" s="968"/>
      <c r="I328" s="968"/>
      <c r="J328" s="968"/>
      <c r="K328" s="967"/>
      <c r="L328" s="967"/>
      <c r="M328" s="967"/>
      <c r="N328" s="967"/>
      <c r="O328" s="1007"/>
      <c r="P328" s="1007"/>
      <c r="Q328" s="1008"/>
    </row>
    <row r="329" spans="1:17" hidden="1">
      <c r="A329" s="966"/>
      <c r="B329" s="967"/>
      <c r="C329" s="967">
        <v>293</v>
      </c>
      <c r="D329" s="967"/>
      <c r="E329" s="968"/>
      <c r="F329" s="968"/>
      <c r="G329" s="968"/>
      <c r="H329" s="968"/>
      <c r="I329" s="968"/>
      <c r="J329" s="968"/>
      <c r="K329" s="967"/>
      <c r="L329" s="967"/>
      <c r="M329" s="967"/>
      <c r="N329" s="967"/>
      <c r="O329" s="1007"/>
      <c r="P329" s="1007"/>
      <c r="Q329" s="1008"/>
    </row>
    <row r="330" spans="1:17" hidden="1">
      <c r="A330" s="966"/>
      <c r="B330" s="967"/>
      <c r="C330" s="967">
        <v>294</v>
      </c>
      <c r="D330" s="967"/>
      <c r="E330" s="968"/>
      <c r="F330" s="968"/>
      <c r="G330" s="968"/>
      <c r="H330" s="968"/>
      <c r="I330" s="968"/>
      <c r="J330" s="968"/>
      <c r="K330" s="967"/>
      <c r="L330" s="967"/>
      <c r="M330" s="967"/>
      <c r="N330" s="967"/>
      <c r="O330" s="1007"/>
      <c r="P330" s="1007"/>
      <c r="Q330" s="1008"/>
    </row>
    <row r="331" spans="1:17" hidden="1">
      <c r="A331" s="966"/>
      <c r="B331" s="967"/>
      <c r="C331" s="967">
        <v>295</v>
      </c>
      <c r="D331" s="967"/>
      <c r="E331" s="968"/>
      <c r="F331" s="968"/>
      <c r="G331" s="968"/>
      <c r="H331" s="968"/>
      <c r="I331" s="968"/>
      <c r="J331" s="968"/>
      <c r="K331" s="967"/>
      <c r="L331" s="967"/>
      <c r="M331" s="967"/>
      <c r="N331" s="967"/>
      <c r="O331" s="1007"/>
      <c r="P331" s="1007"/>
      <c r="Q331" s="1008"/>
    </row>
    <row r="332" spans="1:17" hidden="1">
      <c r="A332" s="966"/>
      <c r="B332" s="967"/>
      <c r="C332" s="967">
        <v>296</v>
      </c>
      <c r="D332" s="967"/>
      <c r="E332" s="968"/>
      <c r="F332" s="968"/>
      <c r="G332" s="968"/>
      <c r="H332" s="968"/>
      <c r="I332" s="968"/>
      <c r="J332" s="968"/>
      <c r="K332" s="967"/>
      <c r="L332" s="967"/>
      <c r="M332" s="967"/>
      <c r="N332" s="967"/>
      <c r="O332" s="1007"/>
      <c r="P332" s="1007"/>
      <c r="Q332" s="1008"/>
    </row>
    <row r="333" spans="1:17" hidden="1">
      <c r="A333" s="966"/>
      <c r="B333" s="967"/>
      <c r="C333" s="967">
        <v>297</v>
      </c>
      <c r="D333" s="967"/>
      <c r="E333" s="968"/>
      <c r="F333" s="968"/>
      <c r="G333" s="968"/>
      <c r="H333" s="968"/>
      <c r="I333" s="968"/>
      <c r="J333" s="968"/>
      <c r="K333" s="967"/>
      <c r="L333" s="967"/>
      <c r="M333" s="967"/>
      <c r="N333" s="967"/>
      <c r="O333" s="1007"/>
      <c r="P333" s="1007"/>
      <c r="Q333" s="1008"/>
    </row>
    <row r="334" spans="1:17" hidden="1">
      <c r="A334" s="966"/>
      <c r="B334" s="967"/>
      <c r="C334" s="967">
        <v>298</v>
      </c>
      <c r="D334" s="967"/>
      <c r="E334" s="968"/>
      <c r="F334" s="968"/>
      <c r="G334" s="968"/>
      <c r="H334" s="968"/>
      <c r="I334" s="968"/>
      <c r="J334" s="968"/>
      <c r="K334" s="967"/>
      <c r="L334" s="967"/>
      <c r="M334" s="967"/>
      <c r="N334" s="967"/>
      <c r="O334" s="1007"/>
      <c r="P334" s="1007"/>
      <c r="Q334" s="1008"/>
    </row>
    <row r="335" spans="1:17" hidden="1">
      <c r="A335" s="966"/>
      <c r="B335" s="967"/>
      <c r="C335" s="967">
        <v>299</v>
      </c>
      <c r="D335" s="967"/>
      <c r="E335" s="968"/>
      <c r="F335" s="968"/>
      <c r="G335" s="968"/>
      <c r="H335" s="968"/>
      <c r="I335" s="968"/>
      <c r="J335" s="968"/>
      <c r="K335" s="967"/>
      <c r="L335" s="967"/>
      <c r="M335" s="967"/>
      <c r="N335" s="967"/>
      <c r="O335" s="1007"/>
      <c r="P335" s="1007"/>
      <c r="Q335" s="1008"/>
    </row>
    <row r="336" spans="1:17" hidden="1">
      <c r="A336" s="966"/>
      <c r="B336" s="967"/>
      <c r="C336" s="967">
        <v>300</v>
      </c>
      <c r="D336" s="967"/>
      <c r="E336" s="968"/>
      <c r="F336" s="968"/>
      <c r="G336" s="968"/>
      <c r="H336" s="968"/>
      <c r="I336" s="968"/>
      <c r="J336" s="968"/>
      <c r="K336" s="967"/>
      <c r="L336" s="967"/>
      <c r="M336" s="967"/>
      <c r="N336" s="967"/>
      <c r="O336" s="1007"/>
      <c r="P336" s="1007"/>
      <c r="Q336" s="1008"/>
    </row>
    <row r="337" spans="1:17" hidden="1">
      <c r="A337" s="966"/>
      <c r="B337" s="967"/>
      <c r="C337" s="967">
        <v>301</v>
      </c>
      <c r="D337" s="967"/>
      <c r="E337" s="968"/>
      <c r="F337" s="968"/>
      <c r="G337" s="968"/>
      <c r="H337" s="968"/>
      <c r="I337" s="968"/>
      <c r="J337" s="968"/>
      <c r="K337" s="967"/>
      <c r="L337" s="967"/>
      <c r="M337" s="967"/>
      <c r="N337" s="967"/>
      <c r="O337" s="1007"/>
      <c r="P337" s="1007"/>
      <c r="Q337" s="1008"/>
    </row>
    <row r="338" spans="1:17" hidden="1">
      <c r="A338" s="966"/>
      <c r="B338" s="967"/>
      <c r="C338" s="967">
        <v>302</v>
      </c>
      <c r="D338" s="967"/>
      <c r="E338" s="968"/>
      <c r="F338" s="968"/>
      <c r="G338" s="968"/>
      <c r="H338" s="968"/>
      <c r="I338" s="968"/>
      <c r="J338" s="968"/>
      <c r="K338" s="967"/>
      <c r="L338" s="967"/>
      <c r="M338" s="967"/>
      <c r="N338" s="967"/>
      <c r="O338" s="1007"/>
      <c r="P338" s="1007"/>
      <c r="Q338" s="1008"/>
    </row>
    <row r="339" spans="1:17" hidden="1">
      <c r="A339" s="966"/>
      <c r="B339" s="967"/>
      <c r="C339" s="967">
        <v>303</v>
      </c>
      <c r="D339" s="967"/>
      <c r="E339" s="968"/>
      <c r="F339" s="968"/>
      <c r="G339" s="968"/>
      <c r="H339" s="968"/>
      <c r="I339" s="968"/>
      <c r="J339" s="968"/>
      <c r="K339" s="967"/>
      <c r="L339" s="967"/>
      <c r="M339" s="967"/>
      <c r="N339" s="967"/>
      <c r="O339" s="1007"/>
      <c r="P339" s="1007"/>
      <c r="Q339" s="1008"/>
    </row>
    <row r="340" spans="1:17" hidden="1">
      <c r="A340" s="966"/>
      <c r="B340" s="967"/>
      <c r="C340" s="967">
        <v>304</v>
      </c>
      <c r="D340" s="967"/>
      <c r="E340" s="968"/>
      <c r="F340" s="968"/>
      <c r="G340" s="968"/>
      <c r="H340" s="968"/>
      <c r="I340" s="968"/>
      <c r="J340" s="968"/>
      <c r="K340" s="967"/>
      <c r="L340" s="967"/>
      <c r="M340" s="967"/>
      <c r="N340" s="967"/>
      <c r="O340" s="1007"/>
      <c r="P340" s="1007"/>
      <c r="Q340" s="1008"/>
    </row>
    <row r="341" spans="1:17" hidden="1">
      <c r="A341" s="966"/>
      <c r="B341" s="967"/>
      <c r="C341" s="967">
        <v>305</v>
      </c>
      <c r="D341" s="967"/>
      <c r="E341" s="968"/>
      <c r="F341" s="968"/>
      <c r="G341" s="968"/>
      <c r="H341" s="968"/>
      <c r="I341" s="968"/>
      <c r="J341" s="968"/>
      <c r="K341" s="967"/>
      <c r="L341" s="967"/>
      <c r="M341" s="967"/>
      <c r="N341" s="967"/>
      <c r="O341" s="1007"/>
      <c r="P341" s="1007"/>
      <c r="Q341" s="1008"/>
    </row>
    <row r="342" spans="1:17" hidden="1">
      <c r="A342" s="966"/>
      <c r="B342" s="967"/>
      <c r="C342" s="967">
        <v>306</v>
      </c>
      <c r="D342" s="967"/>
      <c r="E342" s="968"/>
      <c r="F342" s="968"/>
      <c r="G342" s="968"/>
      <c r="H342" s="968"/>
      <c r="I342" s="968"/>
      <c r="J342" s="968"/>
      <c r="K342" s="967"/>
      <c r="L342" s="967"/>
      <c r="M342" s="967"/>
      <c r="N342" s="967"/>
      <c r="O342" s="1007"/>
      <c r="P342" s="1007"/>
      <c r="Q342" s="1008"/>
    </row>
    <row r="343" spans="1:17" hidden="1">
      <c r="A343" s="966"/>
      <c r="B343" s="967"/>
      <c r="C343" s="967">
        <v>307</v>
      </c>
      <c r="D343" s="967"/>
      <c r="E343" s="968"/>
      <c r="F343" s="968"/>
      <c r="G343" s="968"/>
      <c r="H343" s="968"/>
      <c r="I343" s="968"/>
      <c r="J343" s="968"/>
      <c r="K343" s="967"/>
      <c r="L343" s="967"/>
      <c r="M343" s="967"/>
      <c r="N343" s="967"/>
      <c r="O343" s="1007"/>
      <c r="P343" s="1007"/>
      <c r="Q343" s="1008"/>
    </row>
    <row r="344" spans="1:17" hidden="1">
      <c r="A344" s="966"/>
      <c r="B344" s="967"/>
      <c r="C344" s="967">
        <v>308</v>
      </c>
      <c r="D344" s="967"/>
      <c r="E344" s="968"/>
      <c r="F344" s="968"/>
      <c r="G344" s="968"/>
      <c r="H344" s="968"/>
      <c r="I344" s="968"/>
      <c r="J344" s="968"/>
      <c r="K344" s="967"/>
      <c r="L344" s="967"/>
      <c r="M344" s="967"/>
      <c r="N344" s="967"/>
      <c r="O344" s="1007"/>
      <c r="P344" s="1007"/>
      <c r="Q344" s="1008"/>
    </row>
    <row r="345" spans="1:17" hidden="1">
      <c r="A345" s="966"/>
      <c r="B345" s="967"/>
      <c r="C345" s="967">
        <v>309</v>
      </c>
      <c r="D345" s="967"/>
      <c r="E345" s="968"/>
      <c r="F345" s="968"/>
      <c r="G345" s="968"/>
      <c r="H345" s="968"/>
      <c r="I345" s="968"/>
      <c r="J345" s="968"/>
      <c r="K345" s="967"/>
      <c r="L345" s="967"/>
      <c r="M345" s="967"/>
      <c r="N345" s="967"/>
      <c r="O345" s="1007"/>
      <c r="P345" s="1007"/>
      <c r="Q345" s="1008"/>
    </row>
    <row r="346" spans="1:17" hidden="1">
      <c r="A346" s="966"/>
      <c r="B346" s="967"/>
      <c r="C346" s="967">
        <v>310</v>
      </c>
      <c r="D346" s="967"/>
      <c r="E346" s="968"/>
      <c r="F346" s="968"/>
      <c r="G346" s="968"/>
      <c r="H346" s="968"/>
      <c r="I346" s="968"/>
      <c r="J346" s="968"/>
      <c r="K346" s="967"/>
      <c r="L346" s="967"/>
      <c r="M346" s="967"/>
      <c r="N346" s="967"/>
      <c r="O346" s="1007"/>
      <c r="P346" s="1007"/>
      <c r="Q346" s="1008"/>
    </row>
    <row r="347" spans="1:17" hidden="1">
      <c r="A347" s="966"/>
      <c r="B347" s="967"/>
      <c r="C347" s="967">
        <v>311</v>
      </c>
      <c r="D347" s="967"/>
      <c r="E347" s="968"/>
      <c r="F347" s="968"/>
      <c r="G347" s="968"/>
      <c r="H347" s="968"/>
      <c r="I347" s="968"/>
      <c r="J347" s="968"/>
      <c r="K347" s="967"/>
      <c r="L347" s="967"/>
      <c r="M347" s="967"/>
      <c r="N347" s="967"/>
      <c r="O347" s="1007"/>
      <c r="P347" s="1007"/>
      <c r="Q347" s="1008"/>
    </row>
    <row r="348" spans="1:17" hidden="1">
      <c r="A348" s="966"/>
      <c r="B348" s="967"/>
      <c r="C348" s="967">
        <v>312</v>
      </c>
      <c r="D348" s="967"/>
      <c r="E348" s="968"/>
      <c r="F348" s="968"/>
      <c r="G348" s="968"/>
      <c r="H348" s="968"/>
      <c r="I348" s="968"/>
      <c r="J348" s="968"/>
      <c r="K348" s="967"/>
      <c r="L348" s="967"/>
      <c r="M348" s="967"/>
      <c r="N348" s="967"/>
      <c r="O348" s="1007"/>
      <c r="P348" s="1007"/>
      <c r="Q348" s="1008"/>
    </row>
    <row r="349" spans="1:17" hidden="1">
      <c r="A349" s="966"/>
      <c r="B349" s="967"/>
      <c r="C349" s="967">
        <v>313</v>
      </c>
      <c r="D349" s="967"/>
      <c r="E349" s="968"/>
      <c r="F349" s="968"/>
      <c r="G349" s="968"/>
      <c r="H349" s="968"/>
      <c r="I349" s="968"/>
      <c r="J349" s="968"/>
      <c r="K349" s="967"/>
      <c r="L349" s="967"/>
      <c r="M349" s="967"/>
      <c r="N349" s="967"/>
      <c r="O349" s="1007"/>
      <c r="P349" s="1007"/>
      <c r="Q349" s="1008"/>
    </row>
    <row r="350" spans="1:17" hidden="1">
      <c r="A350" s="966"/>
      <c r="B350" s="967"/>
      <c r="C350" s="967">
        <v>314</v>
      </c>
      <c r="D350" s="967"/>
      <c r="E350" s="968"/>
      <c r="F350" s="968"/>
      <c r="G350" s="968"/>
      <c r="H350" s="968"/>
      <c r="I350" s="968"/>
      <c r="J350" s="968"/>
      <c r="K350" s="967"/>
      <c r="L350" s="967"/>
      <c r="M350" s="967"/>
      <c r="N350" s="967"/>
      <c r="O350" s="1007"/>
      <c r="P350" s="1007"/>
      <c r="Q350" s="1008"/>
    </row>
    <row r="351" spans="1:17" hidden="1">
      <c r="A351" s="966"/>
      <c r="B351" s="967"/>
      <c r="C351" s="967">
        <v>315</v>
      </c>
      <c r="D351" s="967"/>
      <c r="E351" s="968"/>
      <c r="F351" s="968"/>
      <c r="G351" s="968"/>
      <c r="H351" s="968"/>
      <c r="I351" s="968"/>
      <c r="J351" s="968"/>
      <c r="K351" s="967"/>
      <c r="L351" s="967"/>
      <c r="M351" s="967"/>
      <c r="N351" s="967"/>
      <c r="O351" s="1007"/>
      <c r="P351" s="1007"/>
      <c r="Q351" s="1008"/>
    </row>
    <row r="352" spans="1:17" hidden="1">
      <c r="A352" s="966"/>
      <c r="B352" s="967"/>
      <c r="C352" s="967">
        <v>316</v>
      </c>
      <c r="D352" s="967"/>
      <c r="E352" s="968"/>
      <c r="F352" s="968"/>
      <c r="G352" s="968"/>
      <c r="H352" s="968"/>
      <c r="I352" s="968"/>
      <c r="J352" s="968"/>
      <c r="K352" s="967"/>
      <c r="L352" s="967"/>
      <c r="M352" s="967"/>
      <c r="N352" s="967"/>
      <c r="O352" s="1007"/>
      <c r="P352" s="1007"/>
      <c r="Q352" s="1008"/>
    </row>
    <row r="353" spans="1:17" hidden="1">
      <c r="A353" s="966"/>
      <c r="B353" s="967"/>
      <c r="C353" s="967">
        <v>317</v>
      </c>
      <c r="D353" s="967"/>
      <c r="E353" s="968"/>
      <c r="F353" s="968"/>
      <c r="G353" s="968"/>
      <c r="H353" s="968"/>
      <c r="I353" s="968"/>
      <c r="J353" s="968"/>
      <c r="K353" s="967"/>
      <c r="L353" s="967"/>
      <c r="M353" s="967"/>
      <c r="N353" s="967"/>
      <c r="O353" s="1007"/>
      <c r="P353" s="1007"/>
      <c r="Q353" s="1008"/>
    </row>
    <row r="354" spans="1:17" hidden="1">
      <c r="A354" s="966"/>
      <c r="B354" s="967"/>
      <c r="C354" s="967">
        <v>318</v>
      </c>
      <c r="D354" s="967"/>
      <c r="E354" s="968"/>
      <c r="F354" s="968"/>
      <c r="G354" s="968"/>
      <c r="H354" s="968"/>
      <c r="I354" s="968"/>
      <c r="J354" s="968"/>
      <c r="K354" s="967"/>
      <c r="L354" s="967"/>
      <c r="M354" s="967"/>
      <c r="N354" s="967"/>
      <c r="O354" s="1007"/>
      <c r="P354" s="1007"/>
      <c r="Q354" s="1008"/>
    </row>
    <row r="355" spans="1:17" hidden="1">
      <c r="A355" s="966"/>
      <c r="B355" s="967"/>
      <c r="C355" s="967">
        <v>319</v>
      </c>
      <c r="D355" s="967"/>
      <c r="E355" s="968"/>
      <c r="F355" s="968"/>
      <c r="G355" s="968"/>
      <c r="H355" s="968"/>
      <c r="I355" s="968"/>
      <c r="J355" s="968"/>
      <c r="K355" s="967"/>
      <c r="L355" s="967"/>
      <c r="M355" s="967"/>
      <c r="N355" s="967"/>
      <c r="O355" s="1007"/>
      <c r="P355" s="1007"/>
      <c r="Q355" s="1008"/>
    </row>
    <row r="356" spans="1:17" hidden="1">
      <c r="A356" s="966"/>
      <c r="B356" s="967"/>
      <c r="C356" s="967">
        <v>320</v>
      </c>
      <c r="D356" s="967"/>
      <c r="E356" s="968"/>
      <c r="F356" s="968"/>
      <c r="G356" s="968"/>
      <c r="H356" s="968"/>
      <c r="I356" s="968"/>
      <c r="J356" s="968"/>
      <c r="K356" s="967"/>
      <c r="L356" s="967"/>
      <c r="M356" s="967"/>
      <c r="N356" s="967"/>
      <c r="O356" s="1007"/>
      <c r="P356" s="1007"/>
      <c r="Q356" s="1008"/>
    </row>
    <row r="357" spans="1:17" hidden="1">
      <c r="A357" s="966"/>
      <c r="B357" s="967"/>
      <c r="C357" s="967">
        <v>321</v>
      </c>
      <c r="D357" s="967"/>
      <c r="E357" s="968"/>
      <c r="F357" s="968"/>
      <c r="G357" s="968"/>
      <c r="H357" s="968"/>
      <c r="I357" s="968"/>
      <c r="J357" s="968"/>
      <c r="K357" s="967"/>
      <c r="L357" s="967"/>
      <c r="M357" s="967"/>
      <c r="N357" s="967"/>
      <c r="O357" s="1007"/>
      <c r="P357" s="1007"/>
      <c r="Q357" s="1008"/>
    </row>
    <row r="358" spans="1:17" hidden="1">
      <c r="A358" s="966"/>
      <c r="B358" s="967"/>
      <c r="C358" s="967">
        <v>322</v>
      </c>
      <c r="D358" s="967"/>
      <c r="E358" s="968"/>
      <c r="F358" s="968"/>
      <c r="G358" s="968"/>
      <c r="H358" s="968"/>
      <c r="I358" s="968"/>
      <c r="J358" s="968"/>
      <c r="K358" s="967"/>
      <c r="L358" s="967"/>
      <c r="M358" s="967"/>
      <c r="N358" s="967"/>
      <c r="O358" s="1007"/>
      <c r="P358" s="1007"/>
      <c r="Q358" s="1008"/>
    </row>
    <row r="359" spans="1:17" hidden="1">
      <c r="A359" s="966"/>
      <c r="B359" s="967"/>
      <c r="C359" s="967">
        <v>323</v>
      </c>
      <c r="D359" s="967"/>
      <c r="E359" s="968"/>
      <c r="F359" s="968"/>
      <c r="G359" s="968"/>
      <c r="H359" s="968"/>
      <c r="I359" s="968"/>
      <c r="J359" s="968"/>
      <c r="K359" s="967"/>
      <c r="L359" s="967"/>
      <c r="M359" s="967"/>
      <c r="N359" s="967"/>
      <c r="O359" s="1007"/>
      <c r="P359" s="1007"/>
      <c r="Q359" s="1008"/>
    </row>
    <row r="360" spans="1:17" hidden="1">
      <c r="A360" s="966"/>
      <c r="B360" s="967"/>
      <c r="C360" s="967">
        <v>324</v>
      </c>
      <c r="D360" s="967"/>
      <c r="E360" s="968"/>
      <c r="F360" s="968"/>
      <c r="G360" s="968"/>
      <c r="H360" s="968"/>
      <c r="I360" s="968"/>
      <c r="J360" s="968"/>
      <c r="K360" s="967"/>
      <c r="L360" s="967"/>
      <c r="M360" s="967"/>
      <c r="N360" s="967"/>
      <c r="O360" s="1007"/>
      <c r="P360" s="1007"/>
      <c r="Q360" s="1008"/>
    </row>
    <row r="361" spans="1:17" hidden="1">
      <c r="A361" s="966"/>
      <c r="B361" s="967"/>
      <c r="C361" s="967">
        <v>325</v>
      </c>
      <c r="D361" s="967"/>
      <c r="E361" s="968"/>
      <c r="F361" s="968"/>
      <c r="G361" s="968"/>
      <c r="H361" s="968"/>
      <c r="I361" s="968"/>
      <c r="J361" s="968"/>
      <c r="K361" s="967"/>
      <c r="L361" s="967"/>
      <c r="M361" s="967"/>
      <c r="N361" s="967"/>
      <c r="O361" s="1007"/>
      <c r="P361" s="1007"/>
      <c r="Q361" s="1008"/>
    </row>
    <row r="362" spans="1:17" hidden="1">
      <c r="A362" s="966"/>
      <c r="B362" s="967"/>
      <c r="C362" s="967">
        <v>326</v>
      </c>
      <c r="D362" s="967"/>
      <c r="E362" s="968"/>
      <c r="F362" s="968"/>
      <c r="G362" s="968"/>
      <c r="H362" s="968"/>
      <c r="I362" s="968"/>
      <c r="J362" s="968"/>
      <c r="K362" s="967"/>
      <c r="L362" s="967"/>
      <c r="M362" s="967"/>
      <c r="N362" s="967"/>
      <c r="O362" s="1007"/>
      <c r="P362" s="1007"/>
      <c r="Q362" s="1008"/>
    </row>
    <row r="363" spans="1:17" hidden="1">
      <c r="A363" s="966"/>
      <c r="B363" s="967"/>
      <c r="C363" s="967">
        <v>327</v>
      </c>
      <c r="D363" s="967"/>
      <c r="E363" s="968"/>
      <c r="F363" s="968"/>
      <c r="G363" s="968"/>
      <c r="H363" s="968"/>
      <c r="I363" s="968"/>
      <c r="J363" s="968"/>
      <c r="K363" s="967"/>
      <c r="L363" s="967"/>
      <c r="M363" s="967"/>
      <c r="N363" s="967"/>
      <c r="O363" s="1007"/>
      <c r="P363" s="1007"/>
      <c r="Q363" s="1008"/>
    </row>
    <row r="364" spans="1:17" hidden="1">
      <c r="A364" s="966"/>
      <c r="B364" s="967"/>
      <c r="C364" s="967">
        <v>328</v>
      </c>
      <c r="D364" s="967"/>
      <c r="E364" s="968"/>
      <c r="F364" s="968"/>
      <c r="G364" s="968"/>
      <c r="H364" s="968"/>
      <c r="I364" s="968"/>
      <c r="J364" s="968"/>
      <c r="K364" s="967"/>
      <c r="L364" s="967"/>
      <c r="M364" s="967"/>
      <c r="N364" s="967"/>
      <c r="O364" s="1007"/>
      <c r="P364" s="1007"/>
      <c r="Q364" s="1008"/>
    </row>
    <row r="365" spans="1:17" hidden="1">
      <c r="A365" s="966"/>
      <c r="B365" s="967"/>
      <c r="C365" s="967">
        <v>329</v>
      </c>
      <c r="D365" s="967"/>
      <c r="E365" s="968"/>
      <c r="F365" s="968"/>
      <c r="G365" s="968"/>
      <c r="H365" s="968"/>
      <c r="I365" s="968"/>
      <c r="J365" s="968"/>
      <c r="K365" s="967"/>
      <c r="L365" s="967"/>
      <c r="M365" s="967"/>
      <c r="N365" s="967"/>
      <c r="O365" s="1007"/>
      <c r="P365" s="1007"/>
      <c r="Q365" s="1008"/>
    </row>
    <row r="366" spans="1:17" hidden="1">
      <c r="A366" s="966"/>
      <c r="B366" s="967"/>
      <c r="C366" s="967">
        <v>330</v>
      </c>
      <c r="D366" s="967"/>
      <c r="E366" s="968"/>
      <c r="F366" s="968"/>
      <c r="G366" s="968"/>
      <c r="H366" s="968"/>
      <c r="I366" s="968"/>
      <c r="J366" s="968"/>
      <c r="K366" s="967"/>
      <c r="L366" s="967"/>
      <c r="M366" s="967"/>
      <c r="N366" s="967"/>
      <c r="O366" s="1007"/>
      <c r="P366" s="1007"/>
      <c r="Q366" s="1008"/>
    </row>
    <row r="367" spans="1:17" hidden="1">
      <c r="A367" s="966"/>
      <c r="B367" s="967"/>
      <c r="C367" s="967">
        <v>331</v>
      </c>
      <c r="D367" s="967"/>
      <c r="E367" s="968"/>
      <c r="F367" s="968"/>
      <c r="G367" s="968"/>
      <c r="H367" s="968"/>
      <c r="I367" s="968"/>
      <c r="J367" s="968"/>
      <c r="K367" s="967"/>
      <c r="L367" s="967"/>
      <c r="M367" s="967"/>
      <c r="N367" s="967"/>
      <c r="O367" s="1007"/>
      <c r="P367" s="1007"/>
      <c r="Q367" s="1008"/>
    </row>
    <row r="368" spans="1:17" hidden="1">
      <c r="A368" s="966"/>
      <c r="B368" s="967"/>
      <c r="C368" s="967">
        <v>332</v>
      </c>
      <c r="D368" s="967"/>
      <c r="E368" s="968"/>
      <c r="F368" s="968"/>
      <c r="G368" s="968"/>
      <c r="H368" s="968"/>
      <c r="I368" s="968"/>
      <c r="J368" s="968"/>
      <c r="K368" s="967"/>
      <c r="L368" s="967"/>
      <c r="M368" s="967"/>
      <c r="N368" s="967"/>
      <c r="O368" s="1007"/>
      <c r="P368" s="1007"/>
      <c r="Q368" s="1008"/>
    </row>
    <row r="369" spans="1:17" hidden="1">
      <c r="A369" s="966"/>
      <c r="B369" s="967"/>
      <c r="C369" s="967">
        <v>333</v>
      </c>
      <c r="D369" s="967"/>
      <c r="E369" s="968"/>
      <c r="F369" s="968"/>
      <c r="G369" s="968"/>
      <c r="H369" s="968"/>
      <c r="I369" s="968"/>
      <c r="J369" s="968"/>
      <c r="K369" s="967"/>
      <c r="L369" s="967"/>
      <c r="M369" s="967"/>
      <c r="N369" s="967"/>
      <c r="O369" s="1007"/>
      <c r="P369" s="1007"/>
      <c r="Q369" s="1008"/>
    </row>
    <row r="370" spans="1:17" hidden="1">
      <c r="A370" s="966"/>
      <c r="B370" s="967"/>
      <c r="C370" s="967">
        <v>334</v>
      </c>
      <c r="D370" s="967"/>
      <c r="E370" s="968"/>
      <c r="F370" s="968"/>
      <c r="G370" s="968"/>
      <c r="H370" s="968"/>
      <c r="I370" s="968"/>
      <c r="J370" s="968"/>
      <c r="K370" s="967"/>
      <c r="L370" s="967"/>
      <c r="M370" s="967"/>
      <c r="N370" s="967"/>
      <c r="O370" s="1007"/>
      <c r="P370" s="1007"/>
      <c r="Q370" s="1008"/>
    </row>
    <row r="371" spans="1:17" hidden="1">
      <c r="A371" s="966"/>
      <c r="B371" s="967"/>
      <c r="C371" s="967">
        <v>335</v>
      </c>
      <c r="D371" s="967"/>
      <c r="E371" s="968"/>
      <c r="F371" s="968"/>
      <c r="G371" s="968"/>
      <c r="H371" s="968"/>
      <c r="I371" s="968"/>
      <c r="J371" s="968"/>
      <c r="K371" s="967"/>
      <c r="L371" s="967"/>
      <c r="M371" s="967"/>
      <c r="N371" s="967"/>
      <c r="O371" s="1007"/>
      <c r="P371" s="1007"/>
      <c r="Q371" s="1008"/>
    </row>
    <row r="372" spans="1:17" hidden="1">
      <c r="A372" s="966"/>
      <c r="B372" s="967"/>
      <c r="C372" s="967">
        <v>336</v>
      </c>
      <c r="D372" s="967"/>
      <c r="E372" s="968"/>
      <c r="F372" s="968"/>
      <c r="G372" s="968"/>
      <c r="H372" s="968"/>
      <c r="I372" s="968"/>
      <c r="J372" s="968"/>
      <c r="K372" s="967"/>
      <c r="L372" s="967"/>
      <c r="M372" s="967"/>
      <c r="N372" s="967"/>
      <c r="O372" s="1007"/>
      <c r="P372" s="1007"/>
      <c r="Q372" s="1008"/>
    </row>
    <row r="373" spans="1:17" hidden="1">
      <c r="A373" s="966"/>
      <c r="B373" s="967"/>
      <c r="C373" s="967">
        <v>337</v>
      </c>
      <c r="D373" s="967"/>
      <c r="E373" s="968"/>
      <c r="F373" s="968"/>
      <c r="G373" s="968"/>
      <c r="H373" s="968"/>
      <c r="I373" s="968"/>
      <c r="J373" s="968"/>
      <c r="K373" s="967"/>
      <c r="L373" s="967"/>
      <c r="M373" s="967"/>
      <c r="N373" s="967"/>
      <c r="O373" s="1007"/>
      <c r="P373" s="1007"/>
      <c r="Q373" s="1008"/>
    </row>
    <row r="374" spans="1:17" hidden="1">
      <c r="A374" s="966"/>
      <c r="B374" s="967"/>
      <c r="C374" s="967">
        <v>338</v>
      </c>
      <c r="D374" s="967"/>
      <c r="E374" s="968"/>
      <c r="F374" s="968"/>
      <c r="G374" s="968"/>
      <c r="H374" s="968"/>
      <c r="I374" s="968"/>
      <c r="J374" s="968"/>
      <c r="K374" s="967"/>
      <c r="L374" s="967"/>
      <c r="M374" s="967"/>
      <c r="N374" s="967"/>
      <c r="O374" s="1007"/>
      <c r="P374" s="1007"/>
      <c r="Q374" s="1008"/>
    </row>
    <row r="375" spans="1:17" hidden="1">
      <c r="A375" s="966"/>
      <c r="B375" s="967"/>
      <c r="C375" s="967">
        <v>339</v>
      </c>
      <c r="D375" s="967"/>
      <c r="E375" s="968"/>
      <c r="F375" s="968"/>
      <c r="G375" s="968"/>
      <c r="H375" s="968"/>
      <c r="I375" s="968"/>
      <c r="J375" s="968"/>
      <c r="K375" s="967"/>
      <c r="L375" s="967"/>
      <c r="M375" s="967"/>
      <c r="N375" s="967"/>
      <c r="O375" s="1007"/>
      <c r="P375" s="1007"/>
      <c r="Q375" s="1008"/>
    </row>
    <row r="376" spans="1:17" hidden="1">
      <c r="A376" s="966"/>
      <c r="B376" s="967"/>
      <c r="C376" s="967">
        <v>340</v>
      </c>
      <c r="D376" s="967"/>
      <c r="E376" s="968"/>
      <c r="F376" s="968"/>
      <c r="G376" s="968"/>
      <c r="H376" s="968"/>
      <c r="I376" s="968"/>
      <c r="J376" s="968"/>
      <c r="K376" s="967"/>
      <c r="L376" s="967"/>
      <c r="M376" s="967"/>
      <c r="N376" s="967"/>
      <c r="O376" s="1007"/>
      <c r="P376" s="1007"/>
      <c r="Q376" s="1008"/>
    </row>
    <row r="377" spans="1:17" hidden="1">
      <c r="A377" s="966"/>
      <c r="B377" s="967"/>
      <c r="C377" s="967">
        <v>341</v>
      </c>
      <c r="D377" s="967"/>
      <c r="E377" s="968"/>
      <c r="F377" s="968"/>
      <c r="G377" s="968"/>
      <c r="H377" s="968"/>
      <c r="I377" s="968"/>
      <c r="J377" s="968"/>
      <c r="K377" s="967"/>
      <c r="L377" s="967"/>
      <c r="M377" s="967"/>
      <c r="N377" s="967"/>
      <c r="O377" s="1007"/>
      <c r="P377" s="1007"/>
      <c r="Q377" s="1008"/>
    </row>
    <row r="378" spans="1:17" hidden="1">
      <c r="A378" s="966"/>
      <c r="B378" s="967"/>
      <c r="C378" s="967">
        <v>342</v>
      </c>
      <c r="D378" s="967"/>
      <c r="E378" s="968"/>
      <c r="F378" s="968"/>
      <c r="G378" s="968"/>
      <c r="H378" s="968"/>
      <c r="I378" s="968"/>
      <c r="J378" s="968"/>
      <c r="K378" s="967"/>
      <c r="L378" s="967"/>
      <c r="M378" s="967"/>
      <c r="N378" s="967"/>
      <c r="O378" s="1007"/>
      <c r="P378" s="1007"/>
      <c r="Q378" s="1008"/>
    </row>
    <row r="379" spans="1:17" hidden="1">
      <c r="A379" s="966"/>
      <c r="B379" s="967"/>
      <c r="C379" s="967">
        <v>343</v>
      </c>
      <c r="D379" s="967"/>
      <c r="E379" s="968"/>
      <c r="F379" s="968"/>
      <c r="G379" s="968"/>
      <c r="H379" s="968"/>
      <c r="I379" s="968"/>
      <c r="J379" s="968"/>
      <c r="K379" s="967"/>
      <c r="L379" s="967"/>
      <c r="M379" s="967"/>
      <c r="N379" s="967"/>
      <c r="O379" s="1007"/>
      <c r="P379" s="1007"/>
      <c r="Q379" s="1008"/>
    </row>
    <row r="380" spans="1:17" hidden="1">
      <c r="A380" s="966"/>
      <c r="B380" s="967"/>
      <c r="C380" s="967">
        <v>344</v>
      </c>
      <c r="D380" s="967"/>
      <c r="E380" s="968"/>
      <c r="F380" s="968"/>
      <c r="G380" s="968"/>
      <c r="H380" s="968"/>
      <c r="I380" s="968"/>
      <c r="J380" s="968"/>
      <c r="K380" s="967"/>
      <c r="L380" s="967"/>
      <c r="M380" s="967"/>
      <c r="N380" s="967"/>
      <c r="O380" s="1007"/>
      <c r="P380" s="1007"/>
      <c r="Q380" s="1008"/>
    </row>
    <row r="381" spans="1:17" hidden="1">
      <c r="A381" s="966"/>
      <c r="B381" s="967"/>
      <c r="C381" s="967">
        <v>345</v>
      </c>
      <c r="D381" s="967"/>
      <c r="E381" s="968"/>
      <c r="F381" s="968"/>
      <c r="G381" s="968"/>
      <c r="H381" s="968"/>
      <c r="I381" s="968"/>
      <c r="J381" s="968"/>
      <c r="K381" s="967"/>
      <c r="L381" s="967"/>
      <c r="M381" s="967"/>
      <c r="N381" s="967"/>
      <c r="O381" s="1007"/>
      <c r="P381" s="1007"/>
      <c r="Q381" s="1008"/>
    </row>
    <row r="382" spans="1:17" hidden="1">
      <c r="A382" s="966"/>
      <c r="B382" s="967"/>
      <c r="C382" s="967">
        <v>346</v>
      </c>
      <c r="D382" s="967"/>
      <c r="E382" s="968"/>
      <c r="F382" s="968"/>
      <c r="G382" s="968"/>
      <c r="H382" s="968"/>
      <c r="I382" s="968"/>
      <c r="J382" s="968"/>
      <c r="K382" s="967"/>
      <c r="L382" s="967"/>
      <c r="M382" s="967"/>
      <c r="N382" s="967"/>
      <c r="O382" s="1007"/>
      <c r="P382" s="1007"/>
      <c r="Q382" s="1008"/>
    </row>
    <row r="383" spans="1:17" hidden="1">
      <c r="A383" s="966"/>
      <c r="B383" s="967"/>
      <c r="C383" s="967">
        <v>347</v>
      </c>
      <c r="D383" s="967"/>
      <c r="E383" s="968"/>
      <c r="F383" s="968"/>
      <c r="G383" s="968"/>
      <c r="H383" s="968"/>
      <c r="I383" s="968"/>
      <c r="J383" s="968"/>
      <c r="K383" s="967"/>
      <c r="L383" s="967"/>
      <c r="M383" s="967"/>
      <c r="N383" s="967"/>
      <c r="O383" s="1007"/>
      <c r="P383" s="1007"/>
      <c r="Q383" s="1008"/>
    </row>
    <row r="384" spans="1:17" hidden="1">
      <c r="A384" s="966"/>
      <c r="B384" s="967"/>
      <c r="C384" s="967">
        <v>348</v>
      </c>
      <c r="D384" s="967"/>
      <c r="E384" s="968"/>
      <c r="F384" s="968"/>
      <c r="G384" s="968"/>
      <c r="H384" s="968"/>
      <c r="I384" s="968"/>
      <c r="J384" s="968"/>
      <c r="K384" s="967"/>
      <c r="L384" s="967"/>
      <c r="M384" s="967"/>
      <c r="N384" s="967"/>
      <c r="O384" s="1007"/>
      <c r="P384" s="1007"/>
      <c r="Q384" s="1008"/>
    </row>
    <row r="385" spans="1:17" hidden="1">
      <c r="A385" s="966"/>
      <c r="B385" s="967"/>
      <c r="C385" s="967">
        <v>349</v>
      </c>
      <c r="D385" s="967"/>
      <c r="E385" s="968"/>
      <c r="F385" s="968"/>
      <c r="G385" s="968"/>
      <c r="H385" s="968"/>
      <c r="I385" s="968"/>
      <c r="J385" s="968"/>
      <c r="K385" s="967"/>
      <c r="L385" s="967"/>
      <c r="M385" s="967"/>
      <c r="N385" s="967"/>
      <c r="O385" s="1007"/>
      <c r="P385" s="1007"/>
      <c r="Q385" s="1008"/>
    </row>
    <row r="386" spans="1:17" hidden="1">
      <c r="A386" s="966"/>
      <c r="B386" s="967"/>
      <c r="C386" s="967">
        <v>350</v>
      </c>
      <c r="D386" s="967"/>
      <c r="E386" s="968"/>
      <c r="F386" s="968"/>
      <c r="G386" s="968"/>
      <c r="H386" s="968"/>
      <c r="I386" s="968"/>
      <c r="J386" s="968"/>
      <c r="K386" s="967"/>
      <c r="L386" s="967"/>
      <c r="M386" s="967"/>
      <c r="N386" s="967"/>
      <c r="O386" s="1007"/>
      <c r="P386" s="1007"/>
      <c r="Q386" s="1008"/>
    </row>
    <row r="387" spans="1:17" hidden="1">
      <c r="A387" s="966"/>
      <c r="B387" s="967"/>
      <c r="C387" s="967">
        <v>351</v>
      </c>
      <c r="D387" s="967"/>
      <c r="E387" s="968"/>
      <c r="F387" s="968"/>
      <c r="G387" s="968"/>
      <c r="H387" s="968"/>
      <c r="I387" s="968"/>
      <c r="J387" s="968"/>
      <c r="K387" s="967"/>
      <c r="L387" s="967"/>
      <c r="M387" s="967"/>
      <c r="N387" s="967"/>
      <c r="O387" s="1007"/>
      <c r="P387" s="1007"/>
      <c r="Q387" s="1008"/>
    </row>
    <row r="388" spans="1:17" hidden="1">
      <c r="A388" s="966"/>
      <c r="B388" s="967"/>
      <c r="C388" s="967">
        <v>352</v>
      </c>
      <c r="D388" s="967"/>
      <c r="E388" s="968"/>
      <c r="F388" s="968"/>
      <c r="G388" s="968"/>
      <c r="H388" s="968"/>
      <c r="I388" s="968"/>
      <c r="J388" s="968"/>
      <c r="K388" s="967"/>
      <c r="L388" s="967"/>
      <c r="M388" s="967"/>
      <c r="N388" s="967"/>
      <c r="O388" s="1007"/>
      <c r="P388" s="1007"/>
      <c r="Q388" s="1008"/>
    </row>
    <row r="389" spans="1:17" hidden="1">
      <c r="A389" s="966"/>
      <c r="B389" s="967"/>
      <c r="C389" s="967">
        <v>353</v>
      </c>
      <c r="D389" s="967"/>
      <c r="E389" s="968"/>
      <c r="F389" s="968"/>
      <c r="G389" s="968"/>
      <c r="H389" s="968"/>
      <c r="I389" s="968"/>
      <c r="J389" s="968"/>
      <c r="K389" s="967"/>
      <c r="L389" s="967"/>
      <c r="M389" s="967"/>
      <c r="N389" s="967"/>
      <c r="O389" s="1007"/>
      <c r="P389" s="1007"/>
      <c r="Q389" s="1008"/>
    </row>
    <row r="390" spans="1:17" hidden="1">
      <c r="A390" s="966"/>
      <c r="B390" s="967"/>
      <c r="C390" s="967">
        <v>354</v>
      </c>
      <c r="D390" s="967"/>
      <c r="E390" s="968"/>
      <c r="F390" s="968"/>
      <c r="G390" s="968"/>
      <c r="H390" s="968"/>
      <c r="I390" s="968"/>
      <c r="J390" s="968"/>
      <c r="K390" s="967"/>
      <c r="L390" s="967"/>
      <c r="M390" s="967"/>
      <c r="N390" s="967"/>
      <c r="O390" s="1007"/>
      <c r="P390" s="1007"/>
      <c r="Q390" s="1008"/>
    </row>
    <row r="391" spans="1:17" hidden="1">
      <c r="A391" s="966"/>
      <c r="B391" s="967"/>
      <c r="C391" s="967">
        <v>355</v>
      </c>
      <c r="D391" s="967"/>
      <c r="E391" s="968"/>
      <c r="F391" s="968"/>
      <c r="G391" s="968"/>
      <c r="H391" s="968"/>
      <c r="I391" s="968"/>
      <c r="J391" s="968"/>
      <c r="K391" s="967"/>
      <c r="L391" s="967"/>
      <c r="M391" s="967"/>
      <c r="N391" s="967"/>
      <c r="O391" s="1007"/>
      <c r="P391" s="1007"/>
      <c r="Q391" s="1008"/>
    </row>
    <row r="392" spans="1:17" hidden="1">
      <c r="A392" s="966"/>
      <c r="B392" s="967"/>
      <c r="C392" s="967">
        <v>356</v>
      </c>
      <c r="D392" s="967"/>
      <c r="E392" s="968"/>
      <c r="F392" s="968"/>
      <c r="G392" s="968"/>
      <c r="H392" s="968"/>
      <c r="I392" s="968"/>
      <c r="J392" s="968"/>
      <c r="K392" s="967"/>
      <c r="L392" s="967"/>
      <c r="M392" s="967"/>
      <c r="N392" s="967"/>
      <c r="O392" s="1007"/>
      <c r="P392" s="1007"/>
      <c r="Q392" s="1008"/>
    </row>
    <row r="393" spans="1:17" hidden="1">
      <c r="A393" s="966"/>
      <c r="B393" s="967"/>
      <c r="C393" s="967">
        <v>357</v>
      </c>
      <c r="D393" s="967"/>
      <c r="E393" s="968"/>
      <c r="F393" s="968"/>
      <c r="G393" s="968"/>
      <c r="H393" s="968"/>
      <c r="I393" s="968"/>
      <c r="J393" s="968"/>
      <c r="K393" s="967"/>
      <c r="L393" s="967"/>
      <c r="M393" s="967"/>
      <c r="N393" s="967"/>
      <c r="O393" s="1007"/>
      <c r="P393" s="1007"/>
      <c r="Q393" s="1008"/>
    </row>
    <row r="394" spans="1:17" hidden="1">
      <c r="A394" s="966"/>
      <c r="B394" s="967"/>
      <c r="C394" s="967">
        <v>358</v>
      </c>
      <c r="D394" s="967"/>
      <c r="E394" s="968"/>
      <c r="F394" s="968"/>
      <c r="G394" s="968"/>
      <c r="H394" s="968"/>
      <c r="I394" s="968"/>
      <c r="J394" s="968"/>
      <c r="K394" s="967"/>
      <c r="L394" s="967"/>
      <c r="M394" s="967"/>
      <c r="N394" s="967"/>
      <c r="O394" s="1007"/>
      <c r="P394" s="1007"/>
      <c r="Q394" s="1008"/>
    </row>
    <row r="395" spans="1:17" hidden="1">
      <c r="A395" s="966"/>
      <c r="B395" s="967"/>
      <c r="C395" s="967">
        <v>359</v>
      </c>
      <c r="D395" s="967"/>
      <c r="E395" s="968"/>
      <c r="F395" s="968"/>
      <c r="G395" s="968"/>
      <c r="H395" s="968"/>
      <c r="I395" s="968"/>
      <c r="J395" s="968"/>
      <c r="K395" s="967"/>
      <c r="L395" s="967"/>
      <c r="M395" s="967"/>
      <c r="N395" s="967"/>
      <c r="O395" s="1007"/>
      <c r="P395" s="1007"/>
      <c r="Q395" s="1008"/>
    </row>
    <row r="396" spans="1:17" hidden="1">
      <c r="A396" s="966"/>
      <c r="B396" s="967"/>
      <c r="C396" s="967">
        <v>360</v>
      </c>
      <c r="D396" s="967"/>
      <c r="E396" s="968"/>
      <c r="F396" s="968"/>
      <c r="G396" s="968"/>
      <c r="H396" s="968"/>
      <c r="I396" s="968"/>
      <c r="J396" s="968"/>
      <c r="K396" s="967"/>
      <c r="L396" s="967"/>
      <c r="M396" s="967"/>
      <c r="N396" s="967"/>
      <c r="O396" s="1007"/>
      <c r="P396" s="1007"/>
      <c r="Q396" s="1008"/>
    </row>
    <row r="397" spans="1:17" hidden="1">
      <c r="A397" s="966"/>
      <c r="B397" s="967"/>
      <c r="C397" s="967">
        <v>361</v>
      </c>
      <c r="D397" s="967"/>
      <c r="E397" s="968"/>
      <c r="F397" s="968"/>
      <c r="G397" s="968"/>
      <c r="H397" s="968"/>
      <c r="I397" s="968"/>
      <c r="J397" s="968"/>
      <c r="K397" s="967"/>
      <c r="L397" s="967"/>
      <c r="M397" s="967"/>
      <c r="N397" s="967"/>
      <c r="O397" s="1007"/>
      <c r="P397" s="1007"/>
      <c r="Q397" s="1008"/>
    </row>
    <row r="398" spans="1:17" hidden="1">
      <c r="A398" s="966"/>
      <c r="B398" s="967"/>
      <c r="C398" s="967">
        <v>362</v>
      </c>
      <c r="D398" s="967"/>
      <c r="E398" s="968"/>
      <c r="F398" s="968"/>
      <c r="G398" s="968"/>
      <c r="H398" s="968"/>
      <c r="I398" s="968"/>
      <c r="J398" s="968"/>
      <c r="K398" s="967"/>
      <c r="L398" s="967"/>
      <c r="M398" s="967"/>
      <c r="N398" s="967"/>
      <c r="O398" s="1007"/>
      <c r="P398" s="1007"/>
      <c r="Q398" s="1008"/>
    </row>
    <row r="399" spans="1:17" hidden="1">
      <c r="A399" s="966"/>
      <c r="B399" s="967"/>
      <c r="C399" s="967">
        <v>363</v>
      </c>
      <c r="D399" s="967"/>
      <c r="E399" s="968"/>
      <c r="F399" s="968"/>
      <c r="G399" s="968"/>
      <c r="H399" s="968"/>
      <c r="I399" s="968"/>
      <c r="J399" s="968"/>
      <c r="K399" s="967"/>
      <c r="L399" s="967"/>
      <c r="M399" s="967"/>
      <c r="N399" s="967"/>
      <c r="O399" s="1007"/>
      <c r="P399" s="1007"/>
      <c r="Q399" s="1008"/>
    </row>
    <row r="400" spans="1:17" hidden="1">
      <c r="A400" s="966"/>
      <c r="B400" s="967"/>
      <c r="C400" s="967">
        <v>364</v>
      </c>
      <c r="D400" s="967"/>
      <c r="E400" s="968"/>
      <c r="F400" s="968"/>
      <c r="G400" s="968"/>
      <c r="H400" s="968"/>
      <c r="I400" s="968"/>
      <c r="J400" s="968"/>
      <c r="K400" s="967"/>
      <c r="L400" s="967"/>
      <c r="M400" s="967"/>
      <c r="N400" s="967"/>
      <c r="O400" s="1007"/>
      <c r="P400" s="1007"/>
      <c r="Q400" s="1008"/>
    </row>
    <row r="401" spans="1:17" hidden="1">
      <c r="A401" s="966"/>
      <c r="B401" s="967"/>
      <c r="C401" s="967">
        <v>365</v>
      </c>
      <c r="D401" s="967"/>
      <c r="E401" s="968"/>
      <c r="F401" s="968"/>
      <c r="G401" s="968"/>
      <c r="H401" s="968"/>
      <c r="I401" s="968"/>
      <c r="J401" s="968"/>
      <c r="K401" s="967"/>
      <c r="L401" s="967"/>
      <c r="M401" s="967"/>
      <c r="N401" s="967"/>
      <c r="O401" s="1007"/>
      <c r="P401" s="1007"/>
      <c r="Q401" s="1008"/>
    </row>
    <row r="402" spans="1:17" hidden="1">
      <c r="A402" s="966"/>
      <c r="B402" s="967"/>
      <c r="C402" s="967">
        <v>366</v>
      </c>
      <c r="D402" s="967"/>
      <c r="E402" s="968"/>
      <c r="F402" s="968"/>
      <c r="G402" s="968"/>
      <c r="H402" s="968"/>
      <c r="I402" s="968"/>
      <c r="J402" s="968"/>
      <c r="K402" s="967"/>
      <c r="L402" s="967"/>
      <c r="M402" s="967"/>
      <c r="N402" s="967"/>
      <c r="O402" s="1007"/>
      <c r="P402" s="1007"/>
      <c r="Q402" s="1008"/>
    </row>
    <row r="403" spans="1:17" hidden="1">
      <c r="A403" s="966"/>
      <c r="B403" s="967"/>
      <c r="C403" s="967">
        <v>367</v>
      </c>
      <c r="D403" s="967"/>
      <c r="E403" s="968"/>
      <c r="F403" s="968"/>
      <c r="G403" s="968"/>
      <c r="H403" s="968"/>
      <c r="I403" s="968"/>
      <c r="J403" s="968"/>
      <c r="K403" s="967"/>
      <c r="L403" s="967"/>
      <c r="M403" s="967"/>
      <c r="N403" s="967"/>
      <c r="O403" s="1007"/>
      <c r="P403" s="1007"/>
      <c r="Q403" s="1008"/>
    </row>
    <row r="404" spans="1:17" hidden="1">
      <c r="A404" s="966"/>
      <c r="B404" s="967"/>
      <c r="C404" s="967">
        <v>368</v>
      </c>
      <c r="D404" s="967"/>
      <c r="E404" s="968"/>
      <c r="F404" s="968"/>
      <c r="G404" s="968"/>
      <c r="H404" s="968"/>
      <c r="I404" s="968"/>
      <c r="J404" s="968"/>
      <c r="K404" s="967"/>
      <c r="L404" s="967"/>
      <c r="M404" s="967"/>
      <c r="N404" s="967"/>
      <c r="O404" s="1007"/>
      <c r="P404" s="1007"/>
      <c r="Q404" s="1008"/>
    </row>
    <row r="405" spans="1:17" hidden="1">
      <c r="A405" s="966"/>
      <c r="B405" s="967"/>
      <c r="C405" s="967">
        <v>369</v>
      </c>
      <c r="D405" s="967"/>
      <c r="E405" s="968"/>
      <c r="F405" s="968"/>
      <c r="G405" s="968"/>
      <c r="H405" s="968"/>
      <c r="I405" s="968"/>
      <c r="J405" s="968"/>
      <c r="K405" s="967"/>
      <c r="L405" s="967"/>
      <c r="M405" s="967"/>
      <c r="N405" s="967"/>
      <c r="O405" s="1007"/>
      <c r="P405" s="1007"/>
      <c r="Q405" s="1008"/>
    </row>
    <row r="406" spans="1:17" hidden="1">
      <c r="A406" s="966"/>
      <c r="B406" s="967"/>
      <c r="C406" s="967">
        <v>370</v>
      </c>
      <c r="D406" s="967"/>
      <c r="E406" s="968"/>
      <c r="F406" s="968"/>
      <c r="G406" s="968"/>
      <c r="H406" s="968"/>
      <c r="I406" s="968"/>
      <c r="J406" s="968"/>
      <c r="K406" s="967"/>
      <c r="L406" s="967"/>
      <c r="M406" s="967"/>
      <c r="N406" s="967"/>
      <c r="O406" s="1007"/>
      <c r="P406" s="1007"/>
      <c r="Q406" s="1008"/>
    </row>
    <row r="407" spans="1:17" hidden="1">
      <c r="A407" s="966"/>
      <c r="B407" s="967"/>
      <c r="C407" s="967">
        <v>371</v>
      </c>
      <c r="D407" s="967"/>
      <c r="E407" s="968"/>
      <c r="F407" s="968"/>
      <c r="G407" s="968"/>
      <c r="H407" s="968"/>
      <c r="I407" s="968"/>
      <c r="J407" s="968"/>
      <c r="K407" s="967"/>
      <c r="L407" s="967"/>
      <c r="M407" s="967"/>
      <c r="N407" s="967"/>
      <c r="O407" s="1007"/>
      <c r="P407" s="1007"/>
      <c r="Q407" s="1008"/>
    </row>
    <row r="408" spans="1:17" hidden="1">
      <c r="A408" s="966"/>
      <c r="B408" s="967"/>
      <c r="C408" s="967">
        <v>372</v>
      </c>
      <c r="D408" s="967"/>
      <c r="E408" s="968"/>
      <c r="F408" s="968"/>
      <c r="G408" s="968"/>
      <c r="H408" s="968"/>
      <c r="I408" s="968"/>
      <c r="J408" s="968"/>
      <c r="K408" s="967"/>
      <c r="L408" s="967"/>
      <c r="M408" s="967"/>
      <c r="N408" s="967"/>
      <c r="O408" s="1007"/>
      <c r="P408" s="1007"/>
      <c r="Q408" s="1008"/>
    </row>
    <row r="409" spans="1:17" hidden="1">
      <c r="A409" s="966"/>
      <c r="B409" s="967"/>
      <c r="C409" s="967">
        <v>373</v>
      </c>
      <c r="D409" s="967"/>
      <c r="E409" s="968"/>
      <c r="F409" s="968"/>
      <c r="G409" s="968"/>
      <c r="H409" s="968"/>
      <c r="I409" s="968"/>
      <c r="J409" s="968"/>
      <c r="K409" s="967"/>
      <c r="L409" s="967"/>
      <c r="M409" s="967"/>
      <c r="N409" s="967"/>
      <c r="O409" s="1007"/>
      <c r="P409" s="1007"/>
      <c r="Q409" s="1008"/>
    </row>
    <row r="410" spans="1:17" hidden="1">
      <c r="A410" s="966"/>
      <c r="B410" s="967"/>
      <c r="C410" s="967">
        <v>374</v>
      </c>
      <c r="D410" s="967"/>
      <c r="E410" s="968"/>
      <c r="F410" s="968"/>
      <c r="G410" s="968"/>
      <c r="H410" s="968"/>
      <c r="I410" s="968"/>
      <c r="J410" s="968"/>
      <c r="K410" s="967"/>
      <c r="L410" s="967"/>
      <c r="M410" s="967"/>
      <c r="N410" s="967"/>
      <c r="O410" s="1007"/>
      <c r="P410" s="1007"/>
      <c r="Q410" s="1008"/>
    </row>
    <row r="411" spans="1:17" hidden="1">
      <c r="A411" s="966"/>
      <c r="B411" s="967"/>
      <c r="C411" s="967">
        <v>375</v>
      </c>
      <c r="D411" s="967"/>
      <c r="E411" s="968"/>
      <c r="F411" s="968"/>
      <c r="G411" s="968"/>
      <c r="H411" s="968"/>
      <c r="I411" s="968"/>
      <c r="J411" s="968"/>
      <c r="K411" s="967"/>
      <c r="L411" s="967"/>
      <c r="M411" s="967"/>
      <c r="N411" s="967"/>
      <c r="O411" s="1007"/>
      <c r="P411" s="1007"/>
      <c r="Q411" s="1008"/>
    </row>
    <row r="412" spans="1:17" hidden="1">
      <c r="A412" s="966"/>
      <c r="B412" s="967"/>
      <c r="C412" s="967">
        <v>376</v>
      </c>
      <c r="D412" s="967"/>
      <c r="E412" s="968"/>
      <c r="F412" s="968"/>
      <c r="G412" s="968"/>
      <c r="H412" s="968"/>
      <c r="I412" s="968"/>
      <c r="J412" s="968"/>
      <c r="K412" s="967"/>
      <c r="L412" s="967"/>
      <c r="M412" s="967"/>
      <c r="N412" s="967"/>
      <c r="O412" s="1007"/>
      <c r="P412" s="1007"/>
      <c r="Q412" s="1008"/>
    </row>
    <row r="413" spans="1:17" hidden="1">
      <c r="A413" s="966"/>
      <c r="B413" s="967"/>
      <c r="C413" s="967">
        <v>377</v>
      </c>
      <c r="D413" s="967"/>
      <c r="E413" s="968"/>
      <c r="F413" s="968"/>
      <c r="G413" s="968"/>
      <c r="H413" s="968"/>
      <c r="I413" s="968"/>
      <c r="J413" s="968"/>
      <c r="K413" s="967"/>
      <c r="L413" s="967"/>
      <c r="M413" s="967"/>
      <c r="N413" s="967"/>
      <c r="O413" s="1007"/>
      <c r="P413" s="1007"/>
      <c r="Q413" s="1008"/>
    </row>
    <row r="414" spans="1:17" hidden="1">
      <c r="A414" s="966"/>
      <c r="B414" s="967"/>
      <c r="C414" s="967">
        <v>378</v>
      </c>
      <c r="D414" s="967"/>
      <c r="E414" s="968"/>
      <c r="F414" s="968"/>
      <c r="G414" s="968"/>
      <c r="H414" s="968"/>
      <c r="I414" s="968"/>
      <c r="J414" s="968"/>
      <c r="K414" s="967"/>
      <c r="L414" s="967"/>
      <c r="M414" s="967"/>
      <c r="N414" s="967"/>
      <c r="O414" s="1007"/>
      <c r="P414" s="1007"/>
      <c r="Q414" s="1008"/>
    </row>
    <row r="415" spans="1:17" hidden="1">
      <c r="A415" s="966"/>
      <c r="B415" s="967"/>
      <c r="C415" s="967">
        <v>379</v>
      </c>
      <c r="D415" s="967"/>
      <c r="E415" s="968"/>
      <c r="F415" s="968"/>
      <c r="G415" s="968"/>
      <c r="H415" s="968"/>
      <c r="I415" s="968"/>
      <c r="J415" s="968"/>
      <c r="K415" s="967"/>
      <c r="L415" s="967"/>
      <c r="M415" s="967"/>
      <c r="N415" s="967"/>
      <c r="O415" s="1007"/>
      <c r="P415" s="1007"/>
      <c r="Q415" s="1008"/>
    </row>
    <row r="416" spans="1:17" hidden="1">
      <c r="A416" s="966"/>
      <c r="B416" s="967"/>
      <c r="C416" s="967">
        <v>380</v>
      </c>
      <c r="D416" s="967"/>
      <c r="E416" s="968"/>
      <c r="F416" s="968"/>
      <c r="G416" s="968"/>
      <c r="H416" s="968"/>
      <c r="I416" s="968"/>
      <c r="J416" s="968"/>
      <c r="K416" s="967"/>
      <c r="L416" s="967"/>
      <c r="M416" s="967"/>
      <c r="N416" s="967"/>
      <c r="O416" s="1007"/>
      <c r="P416" s="1007"/>
      <c r="Q416" s="1008"/>
    </row>
    <row r="417" spans="1:17" hidden="1">
      <c r="A417" s="966"/>
      <c r="B417" s="967"/>
      <c r="C417" s="967">
        <v>381</v>
      </c>
      <c r="D417" s="967"/>
      <c r="E417" s="968"/>
      <c r="F417" s="968"/>
      <c r="G417" s="968"/>
      <c r="H417" s="968"/>
      <c r="I417" s="968"/>
      <c r="J417" s="968"/>
      <c r="K417" s="967"/>
      <c r="L417" s="967"/>
      <c r="M417" s="967"/>
      <c r="N417" s="967"/>
      <c r="O417" s="1007"/>
      <c r="P417" s="1007"/>
      <c r="Q417" s="1008"/>
    </row>
    <row r="418" spans="1:17" hidden="1">
      <c r="A418" s="966"/>
      <c r="B418" s="967"/>
      <c r="C418" s="967">
        <v>382</v>
      </c>
      <c r="D418" s="967"/>
      <c r="E418" s="968"/>
      <c r="F418" s="968"/>
      <c r="G418" s="968"/>
      <c r="H418" s="968"/>
      <c r="I418" s="968"/>
      <c r="J418" s="968"/>
      <c r="K418" s="967"/>
      <c r="L418" s="967"/>
      <c r="M418" s="967"/>
      <c r="N418" s="967"/>
      <c r="O418" s="1007"/>
      <c r="P418" s="1007"/>
      <c r="Q418" s="1008"/>
    </row>
    <row r="419" spans="1:17" hidden="1">
      <c r="A419" s="966"/>
      <c r="B419" s="967"/>
      <c r="C419" s="967">
        <v>383</v>
      </c>
      <c r="D419" s="967"/>
      <c r="E419" s="968"/>
      <c r="F419" s="968"/>
      <c r="G419" s="968"/>
      <c r="H419" s="968"/>
      <c r="I419" s="968"/>
      <c r="J419" s="968"/>
      <c r="K419" s="967"/>
      <c r="L419" s="967"/>
      <c r="M419" s="967"/>
      <c r="N419" s="967"/>
      <c r="O419" s="1007"/>
      <c r="P419" s="1007"/>
      <c r="Q419" s="1008"/>
    </row>
    <row r="420" spans="1:17" hidden="1">
      <c r="A420" s="966"/>
      <c r="B420" s="967"/>
      <c r="C420" s="967">
        <v>384</v>
      </c>
      <c r="D420" s="967"/>
      <c r="E420" s="968"/>
      <c r="F420" s="968"/>
      <c r="G420" s="968"/>
      <c r="H420" s="968"/>
      <c r="I420" s="968"/>
      <c r="J420" s="968"/>
      <c r="K420" s="967"/>
      <c r="L420" s="967"/>
      <c r="M420" s="967"/>
      <c r="N420" s="967"/>
      <c r="O420" s="1007"/>
      <c r="P420" s="1007"/>
      <c r="Q420" s="1008"/>
    </row>
    <row r="421" spans="1:17" hidden="1">
      <c r="A421" s="966"/>
      <c r="B421" s="967"/>
      <c r="C421" s="967">
        <v>385</v>
      </c>
      <c r="D421" s="967"/>
      <c r="E421" s="968"/>
      <c r="F421" s="968"/>
      <c r="G421" s="968"/>
      <c r="H421" s="968"/>
      <c r="I421" s="968"/>
      <c r="J421" s="968"/>
      <c r="K421" s="967"/>
      <c r="L421" s="967"/>
      <c r="M421" s="967"/>
      <c r="N421" s="967"/>
      <c r="O421" s="1007"/>
      <c r="P421" s="1007"/>
      <c r="Q421" s="1008"/>
    </row>
    <row r="422" spans="1:17" hidden="1">
      <c r="A422" s="966"/>
      <c r="B422" s="967"/>
      <c r="C422" s="967">
        <v>386</v>
      </c>
      <c r="D422" s="967"/>
      <c r="E422" s="968"/>
      <c r="F422" s="968"/>
      <c r="G422" s="968"/>
      <c r="H422" s="968"/>
      <c r="I422" s="968"/>
      <c r="J422" s="968"/>
      <c r="K422" s="967"/>
      <c r="L422" s="967"/>
      <c r="M422" s="967"/>
      <c r="N422" s="967"/>
      <c r="O422" s="1007"/>
      <c r="P422" s="1007"/>
      <c r="Q422" s="1008"/>
    </row>
    <row r="423" spans="1:17" hidden="1">
      <c r="A423" s="966"/>
      <c r="B423" s="967"/>
      <c r="C423" s="967">
        <v>387</v>
      </c>
      <c r="D423" s="967"/>
      <c r="E423" s="968"/>
      <c r="F423" s="968"/>
      <c r="G423" s="968"/>
      <c r="H423" s="968"/>
      <c r="I423" s="968"/>
      <c r="J423" s="968"/>
      <c r="K423" s="967"/>
      <c r="L423" s="967"/>
      <c r="M423" s="967"/>
      <c r="N423" s="967"/>
      <c r="O423" s="1007"/>
      <c r="P423" s="1007"/>
      <c r="Q423" s="1008"/>
    </row>
    <row r="424" spans="1:17" hidden="1">
      <c r="A424" s="966"/>
      <c r="B424" s="967"/>
      <c r="C424" s="967">
        <v>388</v>
      </c>
      <c r="D424" s="967"/>
      <c r="E424" s="968"/>
      <c r="F424" s="968"/>
      <c r="G424" s="968"/>
      <c r="H424" s="968"/>
      <c r="I424" s="968"/>
      <c r="J424" s="968"/>
      <c r="K424" s="967"/>
      <c r="L424" s="967"/>
      <c r="M424" s="967"/>
      <c r="N424" s="967"/>
      <c r="O424" s="1007"/>
      <c r="P424" s="1007"/>
      <c r="Q424" s="1008"/>
    </row>
    <row r="425" spans="1:17" hidden="1">
      <c r="A425" s="966"/>
      <c r="B425" s="967"/>
      <c r="C425" s="967">
        <v>389</v>
      </c>
      <c r="D425" s="967"/>
      <c r="E425" s="968"/>
      <c r="F425" s="968"/>
      <c r="G425" s="968"/>
      <c r="H425" s="968"/>
      <c r="I425" s="968"/>
      <c r="J425" s="968"/>
      <c r="K425" s="967"/>
      <c r="L425" s="967"/>
      <c r="M425" s="967"/>
      <c r="N425" s="967"/>
      <c r="O425" s="1007"/>
      <c r="P425" s="1007"/>
      <c r="Q425" s="1008"/>
    </row>
    <row r="426" spans="1:17" hidden="1">
      <c r="A426" s="966"/>
      <c r="B426" s="967"/>
      <c r="C426" s="967">
        <v>390</v>
      </c>
      <c r="D426" s="967"/>
      <c r="E426" s="968"/>
      <c r="F426" s="968"/>
      <c r="G426" s="968"/>
      <c r="H426" s="968"/>
      <c r="I426" s="968"/>
      <c r="J426" s="968"/>
      <c r="K426" s="967"/>
      <c r="L426" s="967"/>
      <c r="M426" s="967"/>
      <c r="N426" s="967"/>
      <c r="O426" s="1007"/>
      <c r="P426" s="1007"/>
      <c r="Q426" s="1008"/>
    </row>
    <row r="427" spans="1:17" hidden="1">
      <c r="A427" s="966"/>
      <c r="B427" s="967"/>
      <c r="C427" s="967">
        <v>391</v>
      </c>
      <c r="D427" s="967"/>
      <c r="E427" s="968"/>
      <c r="F427" s="968"/>
      <c r="G427" s="968"/>
      <c r="H427" s="968"/>
      <c r="I427" s="968"/>
      <c r="J427" s="968"/>
      <c r="K427" s="967"/>
      <c r="L427" s="967"/>
      <c r="M427" s="967"/>
      <c r="N427" s="967"/>
      <c r="O427" s="1007"/>
      <c r="P427" s="1007"/>
      <c r="Q427" s="1008"/>
    </row>
    <row r="428" spans="1:17" hidden="1">
      <c r="A428" s="966"/>
      <c r="B428" s="967"/>
      <c r="C428" s="967">
        <v>392</v>
      </c>
      <c r="D428" s="967"/>
      <c r="E428" s="968"/>
      <c r="F428" s="968"/>
      <c r="G428" s="968"/>
      <c r="H428" s="968"/>
      <c r="I428" s="968"/>
      <c r="J428" s="968"/>
      <c r="K428" s="967"/>
      <c r="L428" s="967"/>
      <c r="M428" s="967"/>
      <c r="N428" s="967"/>
      <c r="O428" s="1007"/>
      <c r="P428" s="1007"/>
      <c r="Q428" s="1008"/>
    </row>
    <row r="429" spans="1:17" hidden="1">
      <c r="A429" s="966"/>
      <c r="B429" s="967"/>
      <c r="C429" s="967">
        <v>393</v>
      </c>
      <c r="D429" s="967"/>
      <c r="E429" s="968"/>
      <c r="F429" s="968"/>
      <c r="G429" s="968"/>
      <c r="H429" s="968"/>
      <c r="I429" s="968"/>
      <c r="J429" s="968"/>
      <c r="K429" s="967"/>
      <c r="L429" s="967"/>
      <c r="M429" s="967"/>
      <c r="N429" s="967"/>
      <c r="O429" s="1007"/>
      <c r="P429" s="1007"/>
      <c r="Q429" s="1008"/>
    </row>
    <row r="430" spans="1:17" hidden="1">
      <c r="A430" s="966"/>
      <c r="B430" s="967"/>
      <c r="C430" s="967">
        <v>394</v>
      </c>
      <c r="D430" s="967"/>
      <c r="E430" s="968"/>
      <c r="F430" s="968"/>
      <c r="G430" s="968"/>
      <c r="H430" s="968"/>
      <c r="I430" s="968"/>
      <c r="J430" s="968"/>
      <c r="K430" s="967"/>
      <c r="L430" s="967"/>
      <c r="M430" s="967"/>
      <c r="N430" s="967"/>
      <c r="O430" s="1007"/>
      <c r="P430" s="1007"/>
      <c r="Q430" s="1008"/>
    </row>
    <row r="431" spans="1:17" hidden="1">
      <c r="A431" s="966"/>
      <c r="B431" s="967"/>
      <c r="C431" s="967">
        <v>395</v>
      </c>
      <c r="D431" s="967"/>
      <c r="E431" s="968"/>
      <c r="F431" s="968"/>
      <c r="G431" s="968"/>
      <c r="H431" s="968"/>
      <c r="I431" s="968"/>
      <c r="J431" s="968"/>
      <c r="K431" s="967"/>
      <c r="L431" s="967"/>
      <c r="M431" s="967"/>
      <c r="N431" s="967"/>
      <c r="O431" s="1007"/>
      <c r="P431" s="1007"/>
      <c r="Q431" s="1008"/>
    </row>
    <row r="432" spans="1:17" hidden="1">
      <c r="A432" s="966"/>
      <c r="B432" s="967"/>
      <c r="C432" s="967">
        <v>396</v>
      </c>
      <c r="D432" s="967"/>
      <c r="E432" s="968"/>
      <c r="F432" s="968"/>
      <c r="G432" s="968"/>
      <c r="H432" s="968"/>
      <c r="I432" s="968"/>
      <c r="J432" s="968"/>
      <c r="K432" s="967"/>
      <c r="L432" s="967"/>
      <c r="M432" s="967"/>
      <c r="N432" s="967"/>
      <c r="O432" s="1007"/>
      <c r="P432" s="1007"/>
      <c r="Q432" s="1008"/>
    </row>
    <row r="433" spans="1:17" hidden="1">
      <c r="A433" s="966"/>
      <c r="B433" s="967"/>
      <c r="C433" s="967">
        <v>397</v>
      </c>
      <c r="D433" s="967"/>
      <c r="E433" s="968"/>
      <c r="F433" s="968"/>
      <c r="G433" s="968"/>
      <c r="H433" s="968"/>
      <c r="I433" s="968"/>
      <c r="J433" s="968"/>
      <c r="K433" s="967"/>
      <c r="L433" s="967"/>
      <c r="M433" s="967"/>
      <c r="N433" s="967"/>
      <c r="O433" s="1007"/>
      <c r="P433" s="1007"/>
      <c r="Q433" s="1008"/>
    </row>
    <row r="434" spans="1:17" hidden="1">
      <c r="A434" s="966"/>
      <c r="B434" s="967"/>
      <c r="C434" s="967">
        <v>398</v>
      </c>
      <c r="D434" s="967"/>
      <c r="E434" s="968"/>
      <c r="F434" s="968"/>
      <c r="G434" s="968"/>
      <c r="H434" s="968"/>
      <c r="I434" s="968"/>
      <c r="J434" s="968"/>
      <c r="K434" s="967"/>
      <c r="L434" s="967"/>
      <c r="M434" s="967"/>
      <c r="N434" s="967"/>
      <c r="O434" s="1007"/>
      <c r="P434" s="1007"/>
      <c r="Q434" s="1008"/>
    </row>
    <row r="435" spans="1:17" hidden="1">
      <c r="A435" s="966"/>
      <c r="B435" s="967"/>
      <c r="C435" s="967">
        <v>399</v>
      </c>
      <c r="D435" s="967"/>
      <c r="E435" s="968"/>
      <c r="F435" s="968"/>
      <c r="G435" s="968"/>
      <c r="H435" s="968"/>
      <c r="I435" s="968"/>
      <c r="J435" s="968"/>
      <c r="K435" s="967"/>
      <c r="L435" s="967"/>
      <c r="M435" s="967"/>
      <c r="N435" s="967"/>
      <c r="O435" s="1007"/>
      <c r="P435" s="1007"/>
      <c r="Q435" s="1008"/>
    </row>
    <row r="436" spans="1:17" hidden="1">
      <c r="A436" s="966"/>
      <c r="B436" s="967"/>
      <c r="C436" s="967">
        <v>400</v>
      </c>
      <c r="D436" s="967"/>
      <c r="E436" s="968"/>
      <c r="F436" s="968"/>
      <c r="G436" s="968"/>
      <c r="H436" s="968"/>
      <c r="I436" s="968"/>
      <c r="J436" s="968"/>
      <c r="K436" s="967"/>
      <c r="L436" s="967"/>
      <c r="M436" s="967"/>
      <c r="N436" s="967"/>
      <c r="O436" s="1007"/>
      <c r="P436" s="1007"/>
      <c r="Q436" s="1008"/>
    </row>
    <row r="437" spans="1:17" hidden="1">
      <c r="A437" s="966"/>
      <c r="B437" s="967"/>
      <c r="C437" s="967">
        <v>401</v>
      </c>
      <c r="D437" s="967"/>
      <c r="E437" s="968"/>
      <c r="F437" s="968"/>
      <c r="G437" s="968"/>
      <c r="H437" s="968"/>
      <c r="I437" s="968"/>
      <c r="J437" s="968"/>
      <c r="K437" s="967"/>
      <c r="L437" s="967"/>
      <c r="M437" s="967"/>
      <c r="N437" s="967"/>
      <c r="O437" s="1007"/>
      <c r="P437" s="1007"/>
      <c r="Q437" s="1008"/>
    </row>
    <row r="438" spans="1:17" hidden="1">
      <c r="A438" s="966"/>
      <c r="B438" s="967"/>
      <c r="C438" s="967">
        <v>402</v>
      </c>
      <c r="D438" s="967"/>
      <c r="E438" s="968"/>
      <c r="F438" s="968"/>
      <c r="G438" s="968"/>
      <c r="H438" s="968"/>
      <c r="I438" s="968"/>
      <c r="J438" s="968"/>
      <c r="K438" s="967"/>
      <c r="L438" s="967"/>
      <c r="M438" s="967"/>
      <c r="N438" s="967"/>
      <c r="O438" s="1007"/>
      <c r="P438" s="1007"/>
      <c r="Q438" s="1008"/>
    </row>
    <row r="439" spans="1:17" hidden="1">
      <c r="A439" s="966"/>
      <c r="B439" s="967"/>
      <c r="C439" s="967">
        <v>403</v>
      </c>
      <c r="D439" s="967"/>
      <c r="E439" s="968"/>
      <c r="F439" s="968"/>
      <c r="G439" s="968"/>
      <c r="H439" s="968"/>
      <c r="I439" s="968"/>
      <c r="J439" s="968"/>
      <c r="K439" s="967"/>
      <c r="L439" s="967"/>
      <c r="M439" s="967"/>
      <c r="N439" s="967"/>
      <c r="O439" s="1007"/>
      <c r="P439" s="1007"/>
      <c r="Q439" s="1008"/>
    </row>
    <row r="440" spans="1:17" hidden="1">
      <c r="A440" s="966"/>
      <c r="B440" s="967"/>
      <c r="C440" s="967">
        <v>404</v>
      </c>
      <c r="D440" s="967"/>
      <c r="E440" s="968"/>
      <c r="F440" s="968"/>
      <c r="G440" s="968"/>
      <c r="H440" s="968"/>
      <c r="I440" s="968"/>
      <c r="J440" s="968"/>
      <c r="K440" s="967"/>
      <c r="L440" s="967"/>
      <c r="M440" s="967"/>
      <c r="N440" s="967"/>
      <c r="O440" s="1007"/>
      <c r="P440" s="1007"/>
      <c r="Q440" s="1008"/>
    </row>
    <row r="441" spans="1:17" hidden="1">
      <c r="A441" s="966"/>
      <c r="B441" s="967"/>
      <c r="C441" s="967">
        <v>405</v>
      </c>
      <c r="D441" s="967"/>
      <c r="E441" s="968"/>
      <c r="F441" s="968"/>
      <c r="G441" s="968"/>
      <c r="H441" s="968"/>
      <c r="I441" s="968"/>
      <c r="J441" s="968"/>
      <c r="K441" s="967"/>
      <c r="L441" s="967"/>
      <c r="M441" s="967"/>
      <c r="N441" s="967"/>
      <c r="O441" s="1007"/>
      <c r="P441" s="1007"/>
      <c r="Q441" s="1008"/>
    </row>
    <row r="442" spans="1:17" hidden="1">
      <c r="A442" s="966"/>
      <c r="B442" s="967"/>
      <c r="C442" s="967">
        <v>406</v>
      </c>
      <c r="D442" s="967"/>
      <c r="E442" s="968"/>
      <c r="F442" s="968"/>
      <c r="G442" s="968"/>
      <c r="H442" s="968"/>
      <c r="I442" s="968"/>
      <c r="J442" s="968"/>
      <c r="K442" s="967"/>
      <c r="L442" s="967"/>
      <c r="M442" s="967"/>
      <c r="N442" s="967"/>
      <c r="O442" s="1007"/>
      <c r="P442" s="1007"/>
      <c r="Q442" s="1008"/>
    </row>
    <row r="443" spans="1:17" hidden="1">
      <c r="A443" s="966"/>
      <c r="B443" s="967"/>
      <c r="C443" s="967">
        <v>407</v>
      </c>
      <c r="D443" s="967"/>
      <c r="E443" s="968"/>
      <c r="F443" s="968"/>
      <c r="G443" s="968"/>
      <c r="H443" s="968"/>
      <c r="I443" s="968"/>
      <c r="J443" s="968"/>
      <c r="K443" s="967"/>
      <c r="L443" s="967"/>
      <c r="M443" s="967"/>
      <c r="N443" s="967"/>
      <c r="O443" s="1007"/>
      <c r="P443" s="1007"/>
      <c r="Q443" s="1008"/>
    </row>
    <row r="444" spans="1:17" hidden="1">
      <c r="A444" s="966"/>
      <c r="B444" s="967"/>
      <c r="C444" s="967">
        <v>408</v>
      </c>
      <c r="D444" s="967"/>
      <c r="E444" s="968"/>
      <c r="F444" s="968"/>
      <c r="G444" s="968"/>
      <c r="H444" s="968"/>
      <c r="I444" s="968"/>
      <c r="J444" s="968"/>
      <c r="K444" s="967"/>
      <c r="L444" s="967"/>
      <c r="M444" s="967"/>
      <c r="N444" s="967"/>
      <c r="O444" s="1007"/>
      <c r="P444" s="1007"/>
      <c r="Q444" s="1008"/>
    </row>
    <row r="445" spans="1:17" hidden="1">
      <c r="A445" s="966"/>
      <c r="B445" s="967"/>
      <c r="C445" s="967">
        <v>409</v>
      </c>
      <c r="D445" s="967"/>
      <c r="E445" s="968"/>
      <c r="F445" s="968"/>
      <c r="G445" s="968"/>
      <c r="H445" s="968"/>
      <c r="I445" s="968"/>
      <c r="J445" s="968"/>
      <c r="K445" s="967"/>
      <c r="L445" s="967"/>
      <c r="M445" s="967"/>
      <c r="N445" s="967"/>
      <c r="O445" s="1007"/>
      <c r="P445" s="1007"/>
      <c r="Q445" s="1008"/>
    </row>
    <row r="446" spans="1:17" hidden="1">
      <c r="A446" s="966"/>
      <c r="B446" s="967"/>
      <c r="C446" s="967">
        <v>410</v>
      </c>
      <c r="D446" s="967"/>
      <c r="E446" s="968"/>
      <c r="F446" s="968"/>
      <c r="G446" s="968"/>
      <c r="H446" s="968"/>
      <c r="I446" s="968"/>
      <c r="J446" s="968"/>
      <c r="K446" s="967"/>
      <c r="L446" s="967"/>
      <c r="M446" s="967"/>
      <c r="N446" s="967"/>
      <c r="O446" s="1007"/>
      <c r="P446" s="1007"/>
      <c r="Q446" s="1008"/>
    </row>
    <row r="447" spans="1:17" hidden="1">
      <c r="A447" s="966"/>
      <c r="B447" s="967"/>
      <c r="C447" s="967">
        <v>411</v>
      </c>
      <c r="D447" s="967"/>
      <c r="E447" s="968"/>
      <c r="F447" s="968"/>
      <c r="G447" s="968"/>
      <c r="H447" s="968"/>
      <c r="I447" s="968"/>
      <c r="J447" s="968"/>
      <c r="K447" s="967"/>
      <c r="L447" s="967"/>
      <c r="M447" s="967"/>
      <c r="N447" s="967"/>
      <c r="O447" s="1007"/>
      <c r="P447" s="1007"/>
      <c r="Q447" s="1008"/>
    </row>
    <row r="448" spans="1:17" hidden="1">
      <c r="A448" s="966"/>
      <c r="B448" s="967"/>
      <c r="C448" s="967">
        <v>412</v>
      </c>
      <c r="D448" s="967"/>
      <c r="E448" s="968"/>
      <c r="F448" s="968"/>
      <c r="G448" s="968"/>
      <c r="H448" s="968"/>
      <c r="I448" s="968"/>
      <c r="J448" s="968"/>
      <c r="K448" s="967"/>
      <c r="L448" s="967"/>
      <c r="M448" s="967"/>
      <c r="N448" s="967"/>
      <c r="O448" s="1007"/>
      <c r="P448" s="1007"/>
      <c r="Q448" s="1008"/>
    </row>
    <row r="449" spans="1:17" hidden="1">
      <c r="A449" s="966"/>
      <c r="B449" s="967"/>
      <c r="C449" s="967">
        <v>413</v>
      </c>
      <c r="D449" s="967"/>
      <c r="E449" s="968"/>
      <c r="F449" s="968"/>
      <c r="G449" s="968"/>
      <c r="H449" s="968"/>
      <c r="I449" s="968"/>
      <c r="J449" s="968"/>
      <c r="K449" s="967"/>
      <c r="L449" s="967"/>
      <c r="M449" s="967"/>
      <c r="N449" s="967"/>
      <c r="O449" s="1007"/>
      <c r="P449" s="1007"/>
      <c r="Q449" s="1008"/>
    </row>
    <row r="450" spans="1:17" hidden="1">
      <c r="A450" s="966"/>
      <c r="B450" s="967"/>
      <c r="C450" s="967">
        <v>414</v>
      </c>
      <c r="D450" s="967"/>
      <c r="E450" s="968"/>
      <c r="F450" s="968"/>
      <c r="G450" s="968"/>
      <c r="H450" s="968"/>
      <c r="I450" s="968"/>
      <c r="J450" s="968"/>
      <c r="K450" s="967"/>
      <c r="L450" s="967"/>
      <c r="M450" s="967"/>
      <c r="N450" s="967"/>
      <c r="O450" s="1007"/>
      <c r="P450" s="1007"/>
      <c r="Q450" s="1008"/>
    </row>
    <row r="451" spans="1:17" hidden="1">
      <c r="A451" s="966"/>
      <c r="B451" s="967"/>
      <c r="C451" s="967">
        <v>415</v>
      </c>
      <c r="D451" s="967"/>
      <c r="E451" s="968"/>
      <c r="F451" s="968"/>
      <c r="G451" s="968"/>
      <c r="H451" s="968"/>
      <c r="I451" s="968"/>
      <c r="J451" s="968"/>
      <c r="K451" s="967"/>
      <c r="L451" s="967"/>
      <c r="M451" s="967"/>
      <c r="N451" s="967"/>
      <c r="O451" s="1007"/>
      <c r="P451" s="1007"/>
      <c r="Q451" s="1008"/>
    </row>
    <row r="452" spans="1:17" hidden="1">
      <c r="A452" s="966"/>
      <c r="B452" s="967"/>
      <c r="C452" s="967">
        <v>416</v>
      </c>
      <c r="D452" s="967"/>
      <c r="E452" s="968"/>
      <c r="F452" s="968"/>
      <c r="G452" s="968"/>
      <c r="H452" s="968"/>
      <c r="I452" s="968"/>
      <c r="J452" s="968"/>
      <c r="K452" s="967"/>
      <c r="L452" s="967"/>
      <c r="M452" s="967"/>
      <c r="N452" s="967"/>
      <c r="O452" s="1007"/>
      <c r="P452" s="1007"/>
      <c r="Q452" s="1008"/>
    </row>
    <row r="453" spans="1:17" hidden="1">
      <c r="A453" s="966"/>
      <c r="B453" s="967"/>
      <c r="C453" s="967">
        <v>417</v>
      </c>
      <c r="D453" s="967"/>
      <c r="E453" s="968"/>
      <c r="F453" s="968"/>
      <c r="G453" s="968"/>
      <c r="H453" s="968"/>
      <c r="I453" s="968"/>
      <c r="J453" s="968"/>
      <c r="K453" s="967"/>
      <c r="L453" s="967"/>
      <c r="M453" s="967"/>
      <c r="N453" s="967"/>
      <c r="O453" s="1007"/>
      <c r="P453" s="1007"/>
      <c r="Q453" s="1008"/>
    </row>
    <row r="454" spans="1:17" hidden="1">
      <c r="A454" s="966"/>
      <c r="B454" s="967"/>
      <c r="C454" s="967">
        <v>418</v>
      </c>
      <c r="D454" s="967"/>
      <c r="E454" s="968"/>
      <c r="F454" s="968"/>
      <c r="G454" s="968"/>
      <c r="H454" s="968"/>
      <c r="I454" s="968"/>
      <c r="J454" s="968"/>
      <c r="K454" s="967"/>
      <c r="L454" s="967"/>
      <c r="M454" s="967"/>
      <c r="N454" s="967"/>
      <c r="O454" s="1007"/>
      <c r="P454" s="1007"/>
      <c r="Q454" s="1008"/>
    </row>
    <row r="455" spans="1:17" hidden="1">
      <c r="A455" s="966"/>
      <c r="B455" s="967"/>
      <c r="C455" s="967">
        <v>419</v>
      </c>
      <c r="D455" s="967"/>
      <c r="E455" s="968"/>
      <c r="F455" s="968"/>
      <c r="G455" s="968"/>
      <c r="H455" s="968"/>
      <c r="I455" s="968"/>
      <c r="J455" s="968"/>
      <c r="K455" s="967"/>
      <c r="L455" s="967"/>
      <c r="M455" s="967"/>
      <c r="N455" s="967"/>
      <c r="O455" s="1007"/>
      <c r="P455" s="1007"/>
      <c r="Q455" s="1008"/>
    </row>
    <row r="456" spans="1:17" hidden="1">
      <c r="A456" s="966"/>
      <c r="B456" s="967"/>
      <c r="C456" s="967">
        <v>420</v>
      </c>
      <c r="D456" s="967"/>
      <c r="E456" s="968"/>
      <c r="F456" s="968"/>
      <c r="G456" s="968"/>
      <c r="H456" s="968"/>
      <c r="I456" s="968"/>
      <c r="J456" s="968"/>
      <c r="K456" s="967"/>
      <c r="L456" s="967"/>
      <c r="M456" s="967"/>
      <c r="N456" s="967"/>
      <c r="O456" s="1007"/>
      <c r="P456" s="1007"/>
      <c r="Q456" s="1008"/>
    </row>
    <row r="457" spans="1:17" hidden="1">
      <c r="A457" s="966"/>
      <c r="B457" s="967"/>
      <c r="C457" s="967">
        <v>421</v>
      </c>
      <c r="D457" s="967"/>
      <c r="E457" s="968"/>
      <c r="F457" s="968"/>
      <c r="G457" s="968"/>
      <c r="H457" s="968"/>
      <c r="I457" s="968"/>
      <c r="J457" s="968"/>
      <c r="K457" s="967"/>
      <c r="L457" s="967"/>
      <c r="M457" s="967"/>
      <c r="N457" s="967"/>
      <c r="O457" s="1007"/>
      <c r="P457" s="1007"/>
      <c r="Q457" s="1008"/>
    </row>
    <row r="458" spans="1:17" hidden="1">
      <c r="A458" s="966"/>
      <c r="B458" s="967"/>
      <c r="C458" s="967">
        <v>422</v>
      </c>
      <c r="D458" s="967"/>
      <c r="E458" s="968"/>
      <c r="F458" s="968"/>
      <c r="G458" s="968"/>
      <c r="H458" s="968"/>
      <c r="I458" s="968"/>
      <c r="J458" s="968"/>
      <c r="K458" s="967"/>
      <c r="L458" s="967"/>
      <c r="M458" s="967"/>
      <c r="N458" s="967"/>
      <c r="O458" s="1007"/>
      <c r="P458" s="1007"/>
      <c r="Q458" s="1008"/>
    </row>
    <row r="459" spans="1:17" hidden="1">
      <c r="A459" s="966"/>
      <c r="B459" s="967"/>
      <c r="C459" s="967">
        <v>423</v>
      </c>
      <c r="D459" s="967"/>
      <c r="E459" s="968"/>
      <c r="F459" s="968"/>
      <c r="G459" s="968"/>
      <c r="H459" s="968"/>
      <c r="I459" s="968"/>
      <c r="J459" s="968"/>
      <c r="K459" s="967"/>
      <c r="L459" s="967"/>
      <c r="M459" s="967"/>
      <c r="N459" s="967"/>
      <c r="O459" s="1007"/>
      <c r="P459" s="1007"/>
      <c r="Q459" s="1008"/>
    </row>
    <row r="460" spans="1:17" hidden="1">
      <c r="A460" s="966"/>
      <c r="B460" s="967"/>
      <c r="C460" s="967">
        <v>424</v>
      </c>
      <c r="D460" s="967"/>
      <c r="E460" s="968"/>
      <c r="F460" s="968"/>
      <c r="G460" s="968"/>
      <c r="H460" s="968"/>
      <c r="I460" s="968"/>
      <c r="J460" s="968"/>
      <c r="K460" s="967"/>
      <c r="L460" s="967"/>
      <c r="M460" s="967"/>
      <c r="N460" s="967"/>
      <c r="O460" s="1007"/>
      <c r="P460" s="1007"/>
      <c r="Q460" s="1008"/>
    </row>
    <row r="461" spans="1:17" hidden="1">
      <c r="A461" s="966"/>
      <c r="B461" s="967"/>
      <c r="C461" s="967">
        <v>425</v>
      </c>
      <c r="D461" s="967"/>
      <c r="E461" s="968"/>
      <c r="F461" s="968"/>
      <c r="G461" s="968"/>
      <c r="H461" s="968"/>
      <c r="I461" s="968"/>
      <c r="J461" s="968"/>
      <c r="K461" s="967"/>
      <c r="L461" s="967"/>
      <c r="M461" s="967"/>
      <c r="N461" s="967"/>
      <c r="O461" s="1007"/>
      <c r="P461" s="1007"/>
      <c r="Q461" s="1008"/>
    </row>
    <row r="462" spans="1:17" hidden="1">
      <c r="A462" s="966"/>
      <c r="B462" s="967"/>
      <c r="C462" s="967">
        <v>426</v>
      </c>
      <c r="D462" s="967"/>
      <c r="E462" s="968"/>
      <c r="F462" s="968"/>
      <c r="G462" s="968"/>
      <c r="H462" s="968"/>
      <c r="I462" s="968"/>
      <c r="J462" s="968"/>
      <c r="K462" s="967"/>
      <c r="L462" s="967"/>
      <c r="M462" s="967"/>
      <c r="N462" s="967"/>
      <c r="O462" s="1007"/>
      <c r="P462" s="1007"/>
      <c r="Q462" s="1008"/>
    </row>
    <row r="463" spans="1:17" hidden="1">
      <c r="A463" s="966"/>
      <c r="B463" s="967"/>
      <c r="C463" s="967">
        <v>427</v>
      </c>
      <c r="D463" s="967"/>
      <c r="E463" s="968"/>
      <c r="F463" s="968"/>
      <c r="G463" s="968"/>
      <c r="H463" s="968"/>
      <c r="I463" s="968"/>
      <c r="J463" s="968"/>
      <c r="K463" s="967"/>
      <c r="L463" s="967"/>
      <c r="M463" s="967"/>
      <c r="N463" s="967"/>
      <c r="O463" s="1007"/>
      <c r="P463" s="1007"/>
      <c r="Q463" s="1008"/>
    </row>
    <row r="464" spans="1:17" hidden="1">
      <c r="A464" s="966"/>
      <c r="B464" s="967"/>
      <c r="C464" s="967">
        <v>428</v>
      </c>
      <c r="D464" s="967"/>
      <c r="E464" s="968"/>
      <c r="F464" s="968"/>
      <c r="G464" s="968"/>
      <c r="H464" s="968"/>
      <c r="I464" s="968"/>
      <c r="J464" s="968"/>
      <c r="K464" s="967"/>
      <c r="L464" s="967"/>
      <c r="M464" s="967"/>
      <c r="N464" s="967"/>
      <c r="O464" s="1007"/>
      <c r="P464" s="1007"/>
      <c r="Q464" s="1008"/>
    </row>
    <row r="465" spans="1:17" hidden="1">
      <c r="A465" s="966"/>
      <c r="B465" s="967"/>
      <c r="C465" s="967">
        <v>429</v>
      </c>
      <c r="D465" s="967"/>
      <c r="E465" s="968"/>
      <c r="F465" s="968"/>
      <c r="G465" s="968"/>
      <c r="H465" s="968"/>
      <c r="I465" s="968"/>
      <c r="J465" s="968"/>
      <c r="K465" s="967"/>
      <c r="L465" s="967"/>
      <c r="M465" s="967"/>
      <c r="N465" s="967"/>
      <c r="O465" s="1007"/>
      <c r="P465" s="1007"/>
      <c r="Q465" s="1008"/>
    </row>
    <row r="466" spans="1:17" hidden="1">
      <c r="A466" s="966"/>
      <c r="B466" s="967"/>
      <c r="C466" s="967">
        <v>430</v>
      </c>
      <c r="D466" s="967"/>
      <c r="E466" s="968"/>
      <c r="F466" s="968"/>
      <c r="G466" s="968"/>
      <c r="H466" s="968"/>
      <c r="I466" s="968"/>
      <c r="J466" s="968"/>
      <c r="K466" s="967"/>
      <c r="L466" s="967"/>
      <c r="M466" s="967"/>
      <c r="N466" s="967"/>
      <c r="O466" s="1007"/>
      <c r="P466" s="1007"/>
      <c r="Q466" s="1008"/>
    </row>
    <row r="467" spans="1:17" hidden="1">
      <c r="A467" s="966"/>
      <c r="B467" s="967"/>
      <c r="C467" s="967">
        <v>431</v>
      </c>
      <c r="D467" s="967"/>
      <c r="E467" s="968"/>
      <c r="F467" s="968"/>
      <c r="G467" s="968"/>
      <c r="H467" s="968"/>
      <c r="I467" s="968"/>
      <c r="J467" s="968"/>
      <c r="K467" s="967"/>
      <c r="L467" s="967"/>
      <c r="M467" s="967"/>
      <c r="N467" s="967"/>
      <c r="O467" s="1007"/>
      <c r="P467" s="1007"/>
      <c r="Q467" s="1008"/>
    </row>
    <row r="468" spans="1:17" hidden="1">
      <c r="A468" s="966"/>
      <c r="B468" s="967"/>
      <c r="C468" s="967">
        <v>432</v>
      </c>
      <c r="D468" s="967"/>
      <c r="E468" s="968"/>
      <c r="F468" s="968"/>
      <c r="G468" s="968"/>
      <c r="H468" s="968"/>
      <c r="I468" s="968"/>
      <c r="J468" s="968"/>
      <c r="K468" s="967"/>
      <c r="L468" s="967"/>
      <c r="M468" s="967"/>
      <c r="N468" s="967"/>
      <c r="O468" s="1007"/>
      <c r="P468" s="1007"/>
      <c r="Q468" s="1008"/>
    </row>
    <row r="469" spans="1:17" hidden="1">
      <c r="A469" s="966"/>
      <c r="B469" s="967"/>
      <c r="C469" s="967">
        <v>433</v>
      </c>
      <c r="D469" s="967"/>
      <c r="E469" s="968"/>
      <c r="F469" s="968"/>
      <c r="G469" s="968"/>
      <c r="H469" s="968"/>
      <c r="I469" s="968"/>
      <c r="J469" s="968"/>
      <c r="K469" s="967"/>
      <c r="L469" s="967"/>
      <c r="M469" s="967"/>
      <c r="N469" s="967"/>
      <c r="O469" s="1007"/>
      <c r="P469" s="1007"/>
      <c r="Q469" s="1008"/>
    </row>
    <row r="470" spans="1:17" hidden="1">
      <c r="A470" s="966"/>
      <c r="B470" s="967"/>
      <c r="C470" s="967">
        <v>434</v>
      </c>
      <c r="D470" s="967"/>
      <c r="E470" s="968"/>
      <c r="F470" s="968"/>
      <c r="G470" s="968"/>
      <c r="H470" s="968"/>
      <c r="I470" s="968"/>
      <c r="J470" s="968"/>
      <c r="K470" s="967"/>
      <c r="L470" s="967"/>
      <c r="M470" s="967"/>
      <c r="N470" s="967"/>
      <c r="O470" s="1007"/>
      <c r="P470" s="1007"/>
      <c r="Q470" s="1008"/>
    </row>
    <row r="471" spans="1:17" hidden="1">
      <c r="A471" s="966"/>
      <c r="B471" s="967"/>
      <c r="C471" s="967">
        <v>435</v>
      </c>
      <c r="D471" s="967"/>
      <c r="E471" s="968"/>
      <c r="F471" s="968"/>
      <c r="G471" s="968"/>
      <c r="H471" s="968"/>
      <c r="I471" s="968"/>
      <c r="J471" s="968"/>
      <c r="K471" s="967"/>
      <c r="L471" s="967"/>
      <c r="M471" s="967"/>
      <c r="N471" s="967"/>
      <c r="O471" s="1007"/>
      <c r="P471" s="1007"/>
      <c r="Q471" s="1008"/>
    </row>
    <row r="472" spans="1:17" hidden="1">
      <c r="A472" s="966"/>
      <c r="B472" s="967"/>
      <c r="C472" s="967">
        <v>436</v>
      </c>
      <c r="D472" s="967"/>
      <c r="E472" s="968"/>
      <c r="F472" s="968"/>
      <c r="G472" s="968"/>
      <c r="H472" s="968"/>
      <c r="I472" s="968"/>
      <c r="J472" s="968"/>
      <c r="K472" s="967"/>
      <c r="L472" s="967"/>
      <c r="M472" s="967"/>
      <c r="N472" s="967"/>
      <c r="O472" s="1007"/>
      <c r="P472" s="1007"/>
      <c r="Q472" s="1008"/>
    </row>
    <row r="473" spans="1:17" hidden="1">
      <c r="A473" s="966"/>
      <c r="B473" s="967"/>
      <c r="C473" s="967">
        <v>437</v>
      </c>
      <c r="D473" s="967"/>
      <c r="E473" s="968"/>
      <c r="F473" s="968"/>
      <c r="G473" s="968"/>
      <c r="H473" s="968"/>
      <c r="I473" s="968"/>
      <c r="J473" s="968"/>
      <c r="K473" s="967"/>
      <c r="L473" s="967"/>
      <c r="M473" s="967"/>
      <c r="N473" s="967"/>
      <c r="O473" s="1007"/>
      <c r="P473" s="1007"/>
      <c r="Q473" s="1008"/>
    </row>
    <row r="474" spans="1:17" hidden="1">
      <c r="A474" s="966"/>
      <c r="B474" s="967"/>
      <c r="C474" s="967">
        <v>438</v>
      </c>
      <c r="D474" s="967"/>
      <c r="E474" s="968"/>
      <c r="F474" s="968"/>
      <c r="G474" s="968"/>
      <c r="H474" s="968"/>
      <c r="I474" s="968"/>
      <c r="J474" s="968"/>
      <c r="K474" s="967"/>
      <c r="L474" s="967"/>
      <c r="M474" s="967"/>
      <c r="N474" s="967"/>
      <c r="O474" s="1007"/>
      <c r="P474" s="1007"/>
      <c r="Q474" s="1008"/>
    </row>
    <row r="475" spans="1:17" hidden="1">
      <c r="A475" s="966"/>
      <c r="B475" s="967"/>
      <c r="C475" s="967">
        <v>439</v>
      </c>
      <c r="D475" s="967"/>
      <c r="E475" s="968"/>
      <c r="F475" s="968"/>
      <c r="G475" s="968"/>
      <c r="H475" s="968"/>
      <c r="I475" s="968"/>
      <c r="J475" s="968"/>
      <c r="K475" s="967"/>
      <c r="L475" s="967"/>
      <c r="M475" s="967"/>
      <c r="N475" s="967"/>
      <c r="O475" s="1007"/>
      <c r="P475" s="1007"/>
      <c r="Q475" s="1008"/>
    </row>
    <row r="476" spans="1:17" hidden="1">
      <c r="A476" s="966"/>
      <c r="B476" s="967"/>
      <c r="C476" s="967">
        <v>440</v>
      </c>
      <c r="D476" s="967"/>
      <c r="E476" s="968"/>
      <c r="F476" s="968"/>
      <c r="G476" s="968"/>
      <c r="H476" s="968"/>
      <c r="I476" s="968"/>
      <c r="J476" s="968"/>
      <c r="K476" s="967"/>
      <c r="L476" s="967"/>
      <c r="M476" s="967"/>
      <c r="N476" s="967"/>
      <c r="O476" s="1007"/>
      <c r="P476" s="1007"/>
      <c r="Q476" s="1008"/>
    </row>
    <row r="477" spans="1:17" hidden="1">
      <c r="A477" s="966"/>
      <c r="B477" s="967"/>
      <c r="C477" s="967">
        <v>441</v>
      </c>
      <c r="D477" s="967"/>
      <c r="E477" s="968"/>
      <c r="F477" s="968"/>
      <c r="G477" s="968"/>
      <c r="H477" s="968"/>
      <c r="I477" s="968"/>
      <c r="J477" s="968"/>
      <c r="K477" s="967"/>
      <c r="L477" s="967"/>
      <c r="M477" s="967"/>
      <c r="N477" s="967"/>
      <c r="O477" s="1007"/>
      <c r="P477" s="1007"/>
      <c r="Q477" s="1008"/>
    </row>
    <row r="478" spans="1:17" hidden="1">
      <c r="A478" s="966"/>
      <c r="B478" s="967"/>
      <c r="C478" s="967">
        <v>442</v>
      </c>
      <c r="D478" s="967"/>
      <c r="E478" s="968"/>
      <c r="F478" s="968"/>
      <c r="G478" s="968"/>
      <c r="H478" s="968"/>
      <c r="I478" s="968"/>
      <c r="J478" s="968"/>
      <c r="K478" s="967"/>
      <c r="L478" s="967"/>
      <c r="M478" s="967"/>
      <c r="N478" s="967"/>
      <c r="O478" s="1007"/>
      <c r="P478" s="1007"/>
      <c r="Q478" s="1008"/>
    </row>
    <row r="479" spans="1:17" hidden="1">
      <c r="A479" s="966"/>
      <c r="B479" s="967"/>
      <c r="C479" s="967">
        <v>443</v>
      </c>
      <c r="D479" s="967"/>
      <c r="E479" s="968"/>
      <c r="F479" s="968"/>
      <c r="G479" s="968"/>
      <c r="H479" s="968"/>
      <c r="I479" s="968"/>
      <c r="J479" s="968"/>
      <c r="K479" s="967"/>
      <c r="L479" s="967"/>
      <c r="M479" s="967"/>
      <c r="N479" s="967"/>
      <c r="O479" s="1007"/>
      <c r="P479" s="1007"/>
      <c r="Q479" s="1008"/>
    </row>
    <row r="480" spans="1:17" hidden="1">
      <c r="A480" s="966"/>
      <c r="B480" s="967"/>
      <c r="C480" s="967">
        <v>444</v>
      </c>
      <c r="D480" s="967"/>
      <c r="E480" s="968"/>
      <c r="F480" s="968"/>
      <c r="G480" s="968"/>
      <c r="H480" s="968"/>
      <c r="I480" s="968"/>
      <c r="J480" s="968"/>
      <c r="K480" s="967"/>
      <c r="L480" s="967"/>
      <c r="M480" s="967"/>
      <c r="N480" s="967"/>
      <c r="O480" s="1007"/>
      <c r="P480" s="1007"/>
      <c r="Q480" s="1008"/>
    </row>
    <row r="481" spans="1:17" hidden="1">
      <c r="A481" s="966"/>
      <c r="B481" s="967"/>
      <c r="C481" s="967">
        <v>445</v>
      </c>
      <c r="D481" s="967"/>
      <c r="E481" s="968"/>
      <c r="F481" s="968"/>
      <c r="G481" s="968"/>
      <c r="H481" s="968"/>
      <c r="I481" s="968"/>
      <c r="J481" s="968"/>
      <c r="K481" s="967"/>
      <c r="L481" s="967"/>
      <c r="M481" s="967"/>
      <c r="N481" s="967"/>
      <c r="O481" s="1007"/>
      <c r="P481" s="1007"/>
      <c r="Q481" s="1008"/>
    </row>
    <row r="482" spans="1:17" hidden="1">
      <c r="A482" s="966"/>
      <c r="B482" s="967"/>
      <c r="C482" s="967">
        <v>446</v>
      </c>
      <c r="D482" s="967"/>
      <c r="E482" s="968"/>
      <c r="F482" s="968"/>
      <c r="G482" s="968"/>
      <c r="H482" s="968"/>
      <c r="I482" s="968"/>
      <c r="J482" s="968"/>
      <c r="K482" s="967"/>
      <c r="L482" s="967"/>
      <c r="M482" s="967"/>
      <c r="N482" s="967"/>
      <c r="O482" s="1007"/>
      <c r="P482" s="1007"/>
      <c r="Q482" s="1008"/>
    </row>
    <row r="483" spans="1:17" hidden="1">
      <c r="A483" s="966"/>
      <c r="B483" s="967"/>
      <c r="C483" s="967">
        <v>447</v>
      </c>
      <c r="D483" s="967"/>
      <c r="E483" s="968"/>
      <c r="F483" s="968"/>
      <c r="G483" s="968"/>
      <c r="H483" s="968"/>
      <c r="I483" s="968"/>
      <c r="J483" s="968"/>
      <c r="K483" s="967"/>
      <c r="L483" s="967"/>
      <c r="M483" s="967"/>
      <c r="N483" s="967"/>
      <c r="O483" s="1007"/>
      <c r="P483" s="1007"/>
      <c r="Q483" s="1008"/>
    </row>
    <row r="484" spans="1:17" hidden="1">
      <c r="A484" s="966"/>
      <c r="B484" s="967"/>
      <c r="C484" s="967">
        <v>448</v>
      </c>
      <c r="D484" s="967"/>
      <c r="E484" s="968"/>
      <c r="F484" s="968"/>
      <c r="G484" s="968"/>
      <c r="H484" s="968"/>
      <c r="I484" s="968"/>
      <c r="J484" s="968"/>
      <c r="K484" s="967"/>
      <c r="L484" s="967"/>
      <c r="M484" s="967"/>
      <c r="N484" s="967"/>
      <c r="O484" s="1007"/>
      <c r="P484" s="1007"/>
      <c r="Q484" s="1008"/>
    </row>
    <row r="485" spans="1:17" hidden="1">
      <c r="A485" s="966"/>
      <c r="B485" s="967"/>
      <c r="C485" s="967">
        <v>449</v>
      </c>
      <c r="D485" s="967"/>
      <c r="E485" s="968"/>
      <c r="F485" s="968"/>
      <c r="G485" s="968"/>
      <c r="H485" s="968"/>
      <c r="I485" s="968"/>
      <c r="J485" s="968"/>
      <c r="K485" s="967"/>
      <c r="L485" s="967"/>
      <c r="M485" s="967"/>
      <c r="N485" s="967"/>
      <c r="O485" s="1007"/>
      <c r="P485" s="1007"/>
      <c r="Q485" s="1008"/>
    </row>
    <row r="486" spans="1:17" hidden="1">
      <c r="A486" s="966"/>
      <c r="B486" s="967"/>
      <c r="C486" s="967">
        <v>450</v>
      </c>
      <c r="D486" s="967"/>
      <c r="E486" s="968"/>
      <c r="F486" s="968"/>
      <c r="G486" s="968"/>
      <c r="H486" s="968"/>
      <c r="I486" s="968"/>
      <c r="J486" s="968"/>
      <c r="K486" s="967"/>
      <c r="L486" s="967"/>
      <c r="M486" s="967"/>
      <c r="N486" s="967"/>
      <c r="O486" s="1007"/>
      <c r="P486" s="1007"/>
      <c r="Q486" s="1008"/>
    </row>
    <row r="487" spans="1:17" hidden="1">
      <c r="A487" s="966"/>
      <c r="B487" s="967"/>
      <c r="C487" s="967">
        <v>451</v>
      </c>
      <c r="D487" s="967"/>
      <c r="E487" s="968"/>
      <c r="F487" s="968"/>
      <c r="G487" s="968"/>
      <c r="H487" s="968"/>
      <c r="I487" s="968"/>
      <c r="J487" s="968"/>
      <c r="K487" s="967"/>
      <c r="L487" s="967"/>
      <c r="M487" s="967"/>
      <c r="N487" s="967"/>
      <c r="O487" s="1007"/>
      <c r="P487" s="1007"/>
      <c r="Q487" s="1008"/>
    </row>
    <row r="488" spans="1:17" hidden="1">
      <c r="A488" s="966"/>
      <c r="B488" s="967"/>
      <c r="C488" s="967">
        <v>452</v>
      </c>
      <c r="D488" s="967"/>
      <c r="E488" s="968"/>
      <c r="F488" s="968"/>
      <c r="G488" s="968"/>
      <c r="H488" s="968"/>
      <c r="I488" s="968"/>
      <c r="J488" s="968"/>
      <c r="K488" s="967"/>
      <c r="L488" s="967"/>
      <c r="M488" s="967"/>
      <c r="N488" s="967"/>
      <c r="O488" s="1007"/>
      <c r="P488" s="1007"/>
      <c r="Q488" s="1008"/>
    </row>
    <row r="489" spans="1:17" hidden="1">
      <c r="A489" s="966"/>
      <c r="B489" s="967"/>
      <c r="C489" s="967">
        <v>453</v>
      </c>
      <c r="D489" s="967"/>
      <c r="E489" s="968"/>
      <c r="F489" s="968"/>
      <c r="G489" s="968"/>
      <c r="H489" s="968"/>
      <c r="I489" s="968"/>
      <c r="J489" s="968"/>
      <c r="K489" s="967"/>
      <c r="L489" s="967"/>
      <c r="M489" s="967"/>
      <c r="N489" s="967"/>
      <c r="O489" s="1007"/>
      <c r="P489" s="1007"/>
      <c r="Q489" s="1008"/>
    </row>
    <row r="490" spans="1:17" hidden="1">
      <c r="A490" s="966"/>
      <c r="B490" s="967"/>
      <c r="C490" s="967">
        <v>454</v>
      </c>
      <c r="D490" s="967"/>
      <c r="E490" s="968"/>
      <c r="F490" s="968"/>
      <c r="G490" s="968"/>
      <c r="H490" s="968"/>
      <c r="I490" s="968"/>
      <c r="J490" s="968"/>
      <c r="K490" s="967"/>
      <c r="L490" s="967"/>
      <c r="M490" s="967"/>
      <c r="N490" s="967"/>
      <c r="O490" s="1007"/>
      <c r="P490" s="1007"/>
      <c r="Q490" s="1008"/>
    </row>
    <row r="491" spans="1:17" hidden="1">
      <c r="A491" s="966"/>
      <c r="B491" s="967"/>
      <c r="C491" s="967">
        <v>455</v>
      </c>
      <c r="D491" s="967"/>
      <c r="E491" s="968"/>
      <c r="F491" s="968"/>
      <c r="G491" s="968"/>
      <c r="H491" s="968"/>
      <c r="I491" s="968"/>
      <c r="J491" s="968"/>
      <c r="K491" s="967"/>
      <c r="L491" s="967"/>
      <c r="M491" s="967"/>
      <c r="N491" s="967"/>
      <c r="O491" s="1007"/>
      <c r="P491" s="1007"/>
      <c r="Q491" s="1008"/>
    </row>
    <row r="492" spans="1:17" hidden="1">
      <c r="A492" s="966"/>
      <c r="B492" s="967"/>
      <c r="C492" s="967">
        <v>456</v>
      </c>
      <c r="D492" s="967"/>
      <c r="E492" s="968"/>
      <c r="F492" s="968"/>
      <c r="G492" s="968"/>
      <c r="H492" s="968"/>
      <c r="I492" s="968"/>
      <c r="J492" s="968"/>
      <c r="K492" s="967"/>
      <c r="L492" s="967"/>
      <c r="M492" s="967"/>
      <c r="N492" s="967"/>
      <c r="O492" s="1007"/>
      <c r="P492" s="1007"/>
      <c r="Q492" s="1008"/>
    </row>
    <row r="493" spans="1:17" hidden="1">
      <c r="A493" s="966"/>
      <c r="B493" s="967"/>
      <c r="C493" s="967">
        <v>457</v>
      </c>
      <c r="D493" s="967"/>
      <c r="E493" s="968"/>
      <c r="F493" s="968"/>
      <c r="G493" s="968"/>
      <c r="H493" s="968"/>
      <c r="I493" s="968"/>
      <c r="J493" s="968"/>
      <c r="K493" s="967"/>
      <c r="L493" s="967"/>
      <c r="M493" s="967"/>
      <c r="N493" s="967"/>
      <c r="O493" s="1007"/>
      <c r="P493" s="1007"/>
      <c r="Q493" s="1008"/>
    </row>
    <row r="494" spans="1:17" hidden="1">
      <c r="A494" s="966"/>
      <c r="B494" s="967"/>
      <c r="C494" s="967">
        <v>458</v>
      </c>
      <c r="D494" s="967"/>
      <c r="E494" s="968"/>
      <c r="F494" s="968"/>
      <c r="G494" s="968"/>
      <c r="H494" s="968"/>
      <c r="I494" s="968"/>
      <c r="J494" s="968"/>
      <c r="K494" s="967"/>
      <c r="L494" s="967"/>
      <c r="M494" s="967"/>
      <c r="N494" s="967"/>
      <c r="O494" s="1007"/>
      <c r="P494" s="1007"/>
      <c r="Q494" s="1008"/>
    </row>
    <row r="495" spans="1:17" hidden="1">
      <c r="A495" s="966"/>
      <c r="B495" s="967"/>
      <c r="C495" s="967">
        <v>459</v>
      </c>
      <c r="D495" s="967"/>
      <c r="E495" s="968"/>
      <c r="F495" s="968"/>
      <c r="G495" s="968"/>
      <c r="H495" s="968"/>
      <c r="I495" s="968"/>
      <c r="J495" s="968"/>
      <c r="K495" s="967"/>
      <c r="L495" s="967"/>
      <c r="M495" s="967"/>
      <c r="N495" s="967"/>
      <c r="O495" s="1007"/>
      <c r="P495" s="1007"/>
      <c r="Q495" s="1008"/>
    </row>
    <row r="496" spans="1:17" hidden="1">
      <c r="A496" s="966"/>
      <c r="B496" s="967"/>
      <c r="C496" s="967">
        <v>460</v>
      </c>
      <c r="D496" s="967"/>
      <c r="E496" s="968"/>
      <c r="F496" s="968"/>
      <c r="G496" s="968"/>
      <c r="H496" s="968"/>
      <c r="I496" s="968"/>
      <c r="J496" s="968"/>
      <c r="K496" s="967"/>
      <c r="L496" s="967"/>
      <c r="M496" s="967"/>
      <c r="N496" s="967"/>
      <c r="O496" s="1007"/>
      <c r="P496" s="1007"/>
      <c r="Q496" s="1008"/>
    </row>
    <row r="497" spans="1:17" hidden="1">
      <c r="A497" s="966"/>
      <c r="B497" s="967"/>
      <c r="C497" s="967">
        <v>461</v>
      </c>
      <c r="D497" s="967"/>
      <c r="E497" s="968"/>
      <c r="F497" s="968"/>
      <c r="G497" s="968"/>
      <c r="H497" s="968"/>
      <c r="I497" s="968"/>
      <c r="J497" s="968"/>
      <c r="K497" s="967"/>
      <c r="L497" s="967"/>
      <c r="M497" s="967"/>
      <c r="N497" s="967"/>
      <c r="O497" s="1007"/>
      <c r="P497" s="1007"/>
      <c r="Q497" s="1008"/>
    </row>
    <row r="498" spans="1:17" hidden="1">
      <c r="A498" s="966"/>
      <c r="B498" s="967"/>
      <c r="C498" s="967">
        <v>462</v>
      </c>
      <c r="D498" s="967"/>
      <c r="E498" s="968"/>
      <c r="F498" s="968"/>
      <c r="G498" s="968"/>
      <c r="H498" s="968"/>
      <c r="I498" s="968"/>
      <c r="J498" s="968"/>
      <c r="K498" s="967"/>
      <c r="L498" s="967"/>
      <c r="M498" s="967"/>
      <c r="N498" s="967"/>
      <c r="O498" s="1007"/>
      <c r="P498" s="1007"/>
      <c r="Q498" s="1008"/>
    </row>
    <row r="499" spans="1:17" hidden="1">
      <c r="A499" s="966"/>
      <c r="B499" s="967"/>
      <c r="C499" s="967">
        <v>463</v>
      </c>
      <c r="D499" s="967"/>
      <c r="E499" s="968"/>
      <c r="F499" s="968"/>
      <c r="G499" s="968"/>
      <c r="H499" s="968"/>
      <c r="I499" s="968"/>
      <c r="J499" s="968"/>
      <c r="K499" s="967"/>
      <c r="L499" s="967"/>
      <c r="M499" s="967"/>
      <c r="N499" s="967"/>
      <c r="O499" s="1007"/>
      <c r="P499" s="1007"/>
      <c r="Q499" s="1008"/>
    </row>
    <row r="500" spans="1:17" hidden="1">
      <c r="A500" s="966"/>
      <c r="B500" s="967"/>
      <c r="C500" s="967">
        <v>464</v>
      </c>
      <c r="D500" s="967"/>
      <c r="E500" s="968"/>
      <c r="F500" s="968"/>
      <c r="G500" s="968"/>
      <c r="H500" s="968"/>
      <c r="I500" s="968"/>
      <c r="J500" s="968"/>
      <c r="K500" s="967"/>
      <c r="L500" s="967"/>
      <c r="M500" s="967"/>
      <c r="N500" s="967"/>
      <c r="O500" s="1007"/>
      <c r="P500" s="1007"/>
      <c r="Q500" s="1008"/>
    </row>
    <row r="501" spans="1:17" hidden="1">
      <c r="A501" s="966"/>
      <c r="B501" s="967"/>
      <c r="C501" s="967">
        <v>465</v>
      </c>
      <c r="D501" s="967"/>
      <c r="E501" s="968"/>
      <c r="F501" s="968"/>
      <c r="G501" s="968"/>
      <c r="H501" s="968"/>
      <c r="I501" s="968"/>
      <c r="J501" s="968"/>
      <c r="K501" s="967"/>
      <c r="L501" s="967"/>
      <c r="M501" s="967"/>
      <c r="N501" s="967"/>
      <c r="O501" s="1007"/>
      <c r="P501" s="1007"/>
      <c r="Q501" s="1008"/>
    </row>
    <row r="502" spans="1:17" hidden="1">
      <c r="A502" s="966"/>
      <c r="B502" s="967"/>
      <c r="C502" s="967">
        <v>466</v>
      </c>
      <c r="D502" s="967"/>
      <c r="E502" s="968"/>
      <c r="F502" s="968"/>
      <c r="G502" s="968"/>
      <c r="H502" s="968"/>
      <c r="I502" s="968"/>
      <c r="J502" s="968"/>
      <c r="K502" s="967"/>
      <c r="L502" s="967"/>
      <c r="M502" s="967"/>
      <c r="N502" s="967"/>
      <c r="O502" s="1007"/>
      <c r="P502" s="1007"/>
      <c r="Q502" s="1008"/>
    </row>
    <row r="503" spans="1:17" hidden="1">
      <c r="A503" s="966"/>
      <c r="B503" s="967"/>
      <c r="C503" s="967">
        <v>467</v>
      </c>
      <c r="D503" s="967"/>
      <c r="E503" s="968"/>
      <c r="F503" s="968"/>
      <c r="G503" s="968"/>
      <c r="H503" s="968"/>
      <c r="I503" s="968"/>
      <c r="J503" s="968"/>
      <c r="K503" s="967"/>
      <c r="L503" s="967"/>
      <c r="M503" s="967"/>
      <c r="N503" s="967"/>
      <c r="O503" s="1007"/>
      <c r="P503" s="1007"/>
      <c r="Q503" s="1008"/>
    </row>
    <row r="504" spans="1:17" hidden="1">
      <c r="A504" s="966"/>
      <c r="B504" s="967"/>
      <c r="C504" s="967">
        <v>468</v>
      </c>
      <c r="D504" s="967"/>
      <c r="E504" s="968"/>
      <c r="F504" s="968"/>
      <c r="G504" s="968"/>
      <c r="H504" s="968"/>
      <c r="I504" s="968"/>
      <c r="J504" s="968"/>
      <c r="K504" s="967"/>
      <c r="L504" s="967"/>
      <c r="M504" s="967"/>
      <c r="N504" s="967"/>
      <c r="O504" s="1007"/>
      <c r="P504" s="1007"/>
      <c r="Q504" s="1008"/>
    </row>
    <row r="505" spans="1:17" hidden="1">
      <c r="A505" s="966"/>
      <c r="B505" s="967"/>
      <c r="C505" s="967">
        <v>469</v>
      </c>
      <c r="D505" s="967"/>
      <c r="E505" s="968"/>
      <c r="F505" s="968"/>
      <c r="G505" s="968"/>
      <c r="H505" s="968"/>
      <c r="I505" s="968"/>
      <c r="J505" s="968"/>
      <c r="K505" s="967"/>
      <c r="L505" s="967"/>
      <c r="M505" s="967"/>
      <c r="N505" s="967"/>
      <c r="O505" s="1007"/>
      <c r="P505" s="1007"/>
      <c r="Q505" s="1008"/>
    </row>
    <row r="506" spans="1:17" hidden="1">
      <c r="A506" s="966"/>
      <c r="B506" s="967"/>
      <c r="C506" s="967">
        <v>470</v>
      </c>
      <c r="D506" s="967"/>
      <c r="E506" s="968"/>
      <c r="F506" s="968"/>
      <c r="G506" s="968"/>
      <c r="H506" s="968"/>
      <c r="I506" s="968"/>
      <c r="J506" s="968"/>
      <c r="K506" s="967"/>
      <c r="L506" s="967"/>
      <c r="M506" s="967"/>
      <c r="N506" s="967"/>
      <c r="O506" s="1007"/>
      <c r="P506" s="1007"/>
      <c r="Q506" s="1008"/>
    </row>
    <row r="507" spans="1:17" hidden="1">
      <c r="A507" s="966"/>
      <c r="B507" s="967"/>
      <c r="C507" s="967">
        <v>471</v>
      </c>
      <c r="D507" s="967"/>
      <c r="E507" s="968"/>
      <c r="F507" s="968"/>
      <c r="G507" s="968"/>
      <c r="H507" s="968"/>
      <c r="I507" s="968"/>
      <c r="J507" s="968"/>
      <c r="K507" s="967"/>
      <c r="L507" s="967"/>
      <c r="M507" s="967"/>
      <c r="N507" s="967"/>
      <c r="O507" s="1007"/>
      <c r="P507" s="1007"/>
      <c r="Q507" s="1008"/>
    </row>
    <row r="508" spans="1:17" hidden="1">
      <c r="A508" s="966"/>
      <c r="B508" s="967"/>
      <c r="C508" s="967">
        <v>472</v>
      </c>
      <c r="D508" s="967"/>
      <c r="E508" s="968"/>
      <c r="F508" s="968"/>
      <c r="G508" s="968"/>
      <c r="H508" s="968"/>
      <c r="I508" s="968"/>
      <c r="J508" s="968"/>
      <c r="K508" s="967"/>
      <c r="L508" s="967"/>
      <c r="M508" s="967"/>
      <c r="N508" s="967"/>
      <c r="O508" s="1007"/>
      <c r="P508" s="1007"/>
      <c r="Q508" s="1008"/>
    </row>
    <row r="509" spans="1:17" hidden="1">
      <c r="A509" s="966"/>
      <c r="B509" s="967"/>
      <c r="C509" s="967">
        <v>473</v>
      </c>
      <c r="D509" s="967"/>
      <c r="E509" s="968"/>
      <c r="F509" s="968"/>
      <c r="G509" s="968"/>
      <c r="H509" s="968"/>
      <c r="I509" s="968"/>
      <c r="J509" s="968"/>
      <c r="K509" s="967"/>
      <c r="L509" s="967"/>
      <c r="M509" s="967"/>
      <c r="N509" s="967"/>
      <c r="O509" s="1007"/>
      <c r="P509" s="1007"/>
      <c r="Q509" s="1008"/>
    </row>
    <row r="510" spans="1:17" hidden="1">
      <c r="A510" s="966"/>
      <c r="B510" s="967"/>
      <c r="C510" s="967">
        <v>474</v>
      </c>
      <c r="D510" s="967"/>
      <c r="E510" s="968"/>
      <c r="F510" s="968"/>
      <c r="G510" s="968"/>
      <c r="H510" s="968"/>
      <c r="I510" s="968"/>
      <c r="J510" s="968"/>
      <c r="K510" s="967"/>
      <c r="L510" s="967"/>
      <c r="M510" s="967"/>
      <c r="N510" s="967"/>
      <c r="O510" s="1007"/>
      <c r="P510" s="1007"/>
      <c r="Q510" s="1008"/>
    </row>
    <row r="511" spans="1:17" hidden="1">
      <c r="A511" s="966"/>
      <c r="B511" s="967"/>
      <c r="C511" s="967">
        <v>475</v>
      </c>
      <c r="D511" s="967"/>
      <c r="E511" s="968"/>
      <c r="F511" s="968"/>
      <c r="G511" s="968"/>
      <c r="H511" s="968"/>
      <c r="I511" s="968"/>
      <c r="J511" s="968"/>
      <c r="K511" s="967"/>
      <c r="L511" s="967"/>
      <c r="M511" s="967"/>
      <c r="N511" s="967"/>
      <c r="O511" s="1007"/>
      <c r="P511" s="1007"/>
      <c r="Q511" s="1008"/>
    </row>
    <row r="512" spans="1:17" hidden="1">
      <c r="A512" s="966"/>
      <c r="B512" s="967"/>
      <c r="C512" s="967">
        <v>476</v>
      </c>
      <c r="D512" s="967"/>
      <c r="E512" s="968"/>
      <c r="F512" s="968"/>
      <c r="G512" s="968"/>
      <c r="H512" s="968"/>
      <c r="I512" s="968"/>
      <c r="J512" s="968"/>
      <c r="K512" s="967"/>
      <c r="L512" s="967"/>
      <c r="M512" s="967"/>
      <c r="N512" s="967"/>
      <c r="O512" s="1007"/>
      <c r="P512" s="1007"/>
      <c r="Q512" s="1008"/>
    </row>
    <row r="513" spans="1:17" hidden="1">
      <c r="A513" s="966"/>
      <c r="B513" s="967"/>
      <c r="C513" s="967">
        <v>477</v>
      </c>
      <c r="D513" s="967"/>
      <c r="E513" s="968"/>
      <c r="F513" s="968"/>
      <c r="G513" s="968"/>
      <c r="H513" s="968"/>
      <c r="I513" s="968"/>
      <c r="J513" s="968"/>
      <c r="K513" s="967"/>
      <c r="L513" s="967"/>
      <c r="M513" s="967"/>
      <c r="N513" s="967"/>
      <c r="O513" s="1007"/>
      <c r="P513" s="1007"/>
      <c r="Q513" s="1008"/>
    </row>
    <row r="514" spans="1:17" hidden="1">
      <c r="A514" s="966"/>
      <c r="B514" s="967"/>
      <c r="C514" s="967">
        <v>478</v>
      </c>
      <c r="D514" s="967"/>
      <c r="E514" s="968"/>
      <c r="F514" s="968"/>
      <c r="G514" s="968"/>
      <c r="H514" s="968"/>
      <c r="I514" s="968"/>
      <c r="J514" s="968"/>
      <c r="K514" s="967"/>
      <c r="L514" s="967"/>
      <c r="M514" s="967"/>
      <c r="N514" s="967"/>
      <c r="O514" s="1007"/>
      <c r="P514" s="1007"/>
      <c r="Q514" s="1008"/>
    </row>
    <row r="515" spans="1:17" hidden="1">
      <c r="A515" s="966"/>
      <c r="B515" s="967"/>
      <c r="C515" s="967">
        <v>479</v>
      </c>
      <c r="D515" s="967"/>
      <c r="E515" s="968"/>
      <c r="F515" s="968"/>
      <c r="G515" s="968"/>
      <c r="H515" s="968"/>
      <c r="I515" s="968"/>
      <c r="J515" s="968"/>
      <c r="K515" s="967"/>
      <c r="L515" s="967"/>
      <c r="M515" s="967"/>
      <c r="N515" s="967"/>
      <c r="O515" s="1007"/>
      <c r="P515" s="1007"/>
      <c r="Q515" s="1008"/>
    </row>
    <row r="516" spans="1:17" hidden="1">
      <c r="A516" s="966"/>
      <c r="B516" s="967"/>
      <c r="C516" s="967">
        <v>480</v>
      </c>
      <c r="D516" s="967"/>
      <c r="E516" s="968"/>
      <c r="F516" s="968"/>
      <c r="G516" s="968"/>
      <c r="H516" s="968"/>
      <c r="I516" s="968"/>
      <c r="J516" s="968"/>
      <c r="K516" s="967"/>
      <c r="L516" s="967"/>
      <c r="M516" s="967"/>
      <c r="N516" s="967"/>
      <c r="O516" s="1007"/>
      <c r="P516" s="1007"/>
      <c r="Q516" s="1008"/>
    </row>
    <row r="517" spans="1:17" hidden="1">
      <c r="A517" s="966"/>
      <c r="B517" s="967"/>
      <c r="C517" s="967">
        <v>481</v>
      </c>
      <c r="D517" s="967"/>
      <c r="E517" s="968"/>
      <c r="F517" s="968"/>
      <c r="G517" s="968"/>
      <c r="H517" s="968"/>
      <c r="I517" s="968"/>
      <c r="J517" s="968"/>
      <c r="K517" s="967"/>
      <c r="L517" s="967"/>
      <c r="M517" s="967"/>
      <c r="N517" s="967"/>
      <c r="O517" s="1007"/>
      <c r="P517" s="1007"/>
      <c r="Q517" s="1008"/>
    </row>
    <row r="518" spans="1:17" hidden="1">
      <c r="A518" s="966"/>
      <c r="B518" s="967"/>
      <c r="C518" s="967">
        <v>482</v>
      </c>
      <c r="D518" s="967"/>
      <c r="E518" s="968"/>
      <c r="F518" s="968"/>
      <c r="G518" s="968"/>
      <c r="H518" s="968"/>
      <c r="I518" s="968"/>
      <c r="J518" s="968"/>
      <c r="K518" s="967"/>
      <c r="L518" s="967"/>
      <c r="M518" s="967"/>
      <c r="N518" s="967"/>
      <c r="O518" s="1007"/>
      <c r="P518" s="1007"/>
      <c r="Q518" s="1008"/>
    </row>
    <row r="519" spans="1:17" hidden="1">
      <c r="A519" s="966"/>
      <c r="B519" s="967"/>
      <c r="C519" s="967">
        <v>483</v>
      </c>
      <c r="D519" s="967"/>
      <c r="E519" s="968"/>
      <c r="F519" s="968"/>
      <c r="G519" s="968"/>
      <c r="H519" s="968"/>
      <c r="I519" s="968"/>
      <c r="J519" s="968"/>
      <c r="K519" s="967"/>
      <c r="L519" s="967"/>
      <c r="M519" s="967"/>
      <c r="N519" s="967"/>
      <c r="O519" s="1007"/>
      <c r="P519" s="1007"/>
      <c r="Q519" s="1008"/>
    </row>
    <row r="520" spans="1:17" hidden="1">
      <c r="A520" s="966"/>
      <c r="B520" s="967"/>
      <c r="C520" s="967">
        <v>484</v>
      </c>
      <c r="D520" s="967"/>
      <c r="E520" s="968"/>
      <c r="F520" s="968"/>
      <c r="G520" s="968"/>
      <c r="H520" s="968"/>
      <c r="I520" s="968"/>
      <c r="J520" s="968"/>
      <c r="K520" s="967"/>
      <c r="L520" s="967"/>
      <c r="M520" s="967"/>
      <c r="N520" s="967"/>
      <c r="O520" s="1007"/>
      <c r="P520" s="1007"/>
      <c r="Q520" s="1008"/>
    </row>
    <row r="521" spans="1:17" hidden="1">
      <c r="A521" s="966"/>
      <c r="B521" s="967"/>
      <c r="C521" s="967">
        <v>485</v>
      </c>
      <c r="D521" s="967"/>
      <c r="E521" s="968"/>
      <c r="F521" s="968"/>
      <c r="G521" s="968"/>
      <c r="H521" s="968"/>
      <c r="I521" s="968"/>
      <c r="J521" s="968"/>
      <c r="K521" s="967"/>
      <c r="L521" s="967"/>
      <c r="M521" s="967"/>
      <c r="N521" s="967"/>
      <c r="O521" s="1007"/>
      <c r="P521" s="1007"/>
      <c r="Q521" s="1008"/>
    </row>
    <row r="522" spans="1:17" hidden="1">
      <c r="A522" s="966"/>
      <c r="B522" s="967"/>
      <c r="C522" s="967">
        <v>486</v>
      </c>
      <c r="D522" s="967"/>
      <c r="E522" s="968"/>
      <c r="F522" s="968"/>
      <c r="G522" s="968"/>
      <c r="H522" s="968"/>
      <c r="I522" s="968"/>
      <c r="J522" s="968"/>
      <c r="K522" s="967"/>
      <c r="L522" s="967"/>
      <c r="M522" s="967"/>
      <c r="N522" s="967"/>
      <c r="O522" s="1007"/>
      <c r="P522" s="1007"/>
      <c r="Q522" s="1008"/>
    </row>
    <row r="523" spans="1:17" hidden="1">
      <c r="A523" s="966"/>
      <c r="B523" s="967"/>
      <c r="C523" s="967">
        <v>487</v>
      </c>
      <c r="D523" s="967"/>
      <c r="E523" s="968"/>
      <c r="F523" s="968"/>
      <c r="G523" s="968"/>
      <c r="H523" s="968"/>
      <c r="I523" s="968"/>
      <c r="J523" s="968"/>
      <c r="K523" s="967"/>
      <c r="L523" s="967"/>
      <c r="M523" s="967"/>
      <c r="N523" s="967"/>
      <c r="O523" s="1007"/>
      <c r="P523" s="1007"/>
      <c r="Q523" s="1008"/>
    </row>
    <row r="524" spans="1:17" hidden="1">
      <c r="A524" s="966"/>
      <c r="B524" s="967"/>
      <c r="C524" s="967">
        <v>488</v>
      </c>
      <c r="D524" s="967"/>
      <c r="E524" s="968"/>
      <c r="F524" s="968"/>
      <c r="G524" s="968"/>
      <c r="H524" s="968"/>
      <c r="I524" s="968"/>
      <c r="J524" s="968"/>
      <c r="K524" s="967"/>
      <c r="L524" s="967"/>
      <c r="M524" s="967"/>
      <c r="N524" s="967"/>
      <c r="O524" s="1007"/>
      <c r="P524" s="1007"/>
      <c r="Q524" s="1008"/>
    </row>
    <row r="525" spans="1:17" hidden="1">
      <c r="A525" s="966"/>
      <c r="B525" s="967"/>
      <c r="C525" s="967">
        <v>489</v>
      </c>
      <c r="D525" s="967"/>
      <c r="E525" s="968"/>
      <c r="F525" s="968"/>
      <c r="G525" s="968"/>
      <c r="H525" s="968"/>
      <c r="I525" s="968"/>
      <c r="J525" s="968"/>
      <c r="K525" s="967"/>
      <c r="L525" s="967"/>
      <c r="M525" s="967"/>
      <c r="N525" s="967"/>
      <c r="O525" s="1007"/>
      <c r="P525" s="1007"/>
      <c r="Q525" s="1008"/>
    </row>
    <row r="526" spans="1:17" hidden="1">
      <c r="A526" s="966"/>
      <c r="B526" s="967"/>
      <c r="C526" s="967">
        <v>490</v>
      </c>
      <c r="D526" s="967"/>
      <c r="E526" s="968"/>
      <c r="F526" s="968"/>
      <c r="G526" s="968"/>
      <c r="H526" s="968"/>
      <c r="I526" s="968"/>
      <c r="J526" s="968"/>
      <c r="K526" s="967"/>
      <c r="L526" s="967"/>
      <c r="M526" s="967"/>
      <c r="N526" s="967"/>
      <c r="O526" s="1007"/>
      <c r="P526" s="1007"/>
      <c r="Q526" s="1008"/>
    </row>
    <row r="527" spans="1:17" hidden="1">
      <c r="A527" s="966"/>
      <c r="B527" s="967"/>
      <c r="C527" s="967">
        <v>491</v>
      </c>
      <c r="D527" s="967"/>
      <c r="E527" s="968"/>
      <c r="F527" s="968"/>
      <c r="G527" s="968"/>
      <c r="H527" s="968"/>
      <c r="I527" s="968"/>
      <c r="J527" s="968"/>
      <c r="K527" s="967"/>
      <c r="L527" s="967"/>
      <c r="M527" s="967"/>
      <c r="N527" s="967"/>
      <c r="O527" s="1007"/>
      <c r="P527" s="1007"/>
      <c r="Q527" s="1008"/>
    </row>
    <row r="528" spans="1:17" hidden="1">
      <c r="A528" s="966"/>
      <c r="B528" s="967"/>
      <c r="C528" s="967">
        <v>492</v>
      </c>
      <c r="D528" s="967"/>
      <c r="E528" s="968"/>
      <c r="F528" s="968"/>
      <c r="G528" s="968"/>
      <c r="H528" s="968"/>
      <c r="I528" s="968"/>
      <c r="J528" s="968"/>
      <c r="K528" s="967"/>
      <c r="L528" s="967"/>
      <c r="M528" s="967"/>
      <c r="N528" s="967"/>
      <c r="O528" s="1007"/>
      <c r="P528" s="1007"/>
      <c r="Q528" s="1008"/>
    </row>
    <row r="529" spans="1:17" hidden="1">
      <c r="A529" s="966"/>
      <c r="B529" s="967"/>
      <c r="C529" s="967">
        <v>493</v>
      </c>
      <c r="D529" s="967"/>
      <c r="E529" s="968"/>
      <c r="F529" s="968"/>
      <c r="G529" s="968"/>
      <c r="H529" s="968"/>
      <c r="I529" s="968"/>
      <c r="J529" s="968"/>
      <c r="K529" s="967"/>
      <c r="L529" s="967"/>
      <c r="M529" s="967"/>
      <c r="N529" s="967"/>
      <c r="O529" s="1007"/>
      <c r="P529" s="1007"/>
      <c r="Q529" s="1008"/>
    </row>
    <row r="530" spans="1:17" hidden="1">
      <c r="A530" s="966"/>
      <c r="B530" s="967"/>
      <c r="C530" s="967">
        <v>494</v>
      </c>
      <c r="D530" s="967"/>
      <c r="E530" s="968"/>
      <c r="F530" s="968"/>
      <c r="G530" s="968"/>
      <c r="H530" s="968"/>
      <c r="I530" s="968"/>
      <c r="J530" s="968"/>
      <c r="K530" s="967"/>
      <c r="L530" s="967"/>
      <c r="M530" s="967"/>
      <c r="N530" s="967"/>
      <c r="O530" s="1007"/>
      <c r="P530" s="1007"/>
      <c r="Q530" s="1008"/>
    </row>
    <row r="531" spans="1:17" hidden="1">
      <c r="A531" s="966"/>
      <c r="B531" s="967"/>
      <c r="C531" s="967">
        <v>495</v>
      </c>
      <c r="D531" s="967"/>
      <c r="E531" s="968"/>
      <c r="F531" s="968"/>
      <c r="G531" s="968"/>
      <c r="H531" s="968"/>
      <c r="I531" s="968"/>
      <c r="J531" s="968"/>
      <c r="K531" s="967"/>
      <c r="L531" s="967"/>
      <c r="M531" s="967"/>
      <c r="N531" s="967"/>
      <c r="O531" s="1007"/>
      <c r="P531" s="1007"/>
      <c r="Q531" s="1008"/>
    </row>
    <row r="532" spans="1:17" hidden="1">
      <c r="A532" s="966"/>
      <c r="B532" s="967"/>
      <c r="C532" s="967">
        <v>496</v>
      </c>
      <c r="D532" s="967"/>
      <c r="E532" s="968"/>
      <c r="F532" s="968"/>
      <c r="G532" s="968"/>
      <c r="H532" s="968"/>
      <c r="I532" s="968"/>
      <c r="J532" s="968"/>
      <c r="K532" s="967"/>
      <c r="L532" s="967"/>
      <c r="M532" s="967"/>
      <c r="N532" s="967"/>
      <c r="O532" s="1007"/>
      <c r="P532" s="1007"/>
      <c r="Q532" s="1008"/>
    </row>
    <row r="533" spans="1:17" hidden="1">
      <c r="A533" s="966"/>
      <c r="B533" s="967"/>
      <c r="C533" s="967">
        <v>497</v>
      </c>
      <c r="D533" s="967"/>
      <c r="E533" s="968"/>
      <c r="F533" s="968"/>
      <c r="G533" s="968"/>
      <c r="H533" s="968"/>
      <c r="I533" s="968"/>
      <c r="J533" s="968"/>
      <c r="K533" s="967"/>
      <c r="L533" s="967"/>
      <c r="M533" s="967"/>
      <c r="N533" s="967"/>
      <c r="O533" s="1007"/>
      <c r="P533" s="1007"/>
      <c r="Q533" s="1008"/>
    </row>
    <row r="534" spans="1:17" hidden="1">
      <c r="A534" s="966"/>
      <c r="B534" s="967"/>
      <c r="C534" s="967">
        <v>498</v>
      </c>
      <c r="D534" s="967"/>
      <c r="E534" s="968"/>
      <c r="F534" s="968"/>
      <c r="G534" s="968"/>
      <c r="H534" s="968"/>
      <c r="I534" s="968"/>
      <c r="J534" s="968"/>
      <c r="K534" s="967"/>
      <c r="L534" s="967"/>
      <c r="M534" s="967"/>
      <c r="N534" s="967"/>
      <c r="O534" s="1007"/>
      <c r="P534" s="1007"/>
      <c r="Q534" s="1008"/>
    </row>
    <row r="535" spans="1:17" hidden="1">
      <c r="A535" s="966"/>
      <c r="B535" s="967"/>
      <c r="C535" s="967">
        <v>499</v>
      </c>
      <c r="D535" s="967"/>
      <c r="E535" s="968"/>
      <c r="F535" s="968"/>
      <c r="G535" s="968"/>
      <c r="H535" s="968"/>
      <c r="I535" s="968"/>
      <c r="J535" s="968"/>
      <c r="K535" s="967"/>
      <c r="L535" s="967"/>
      <c r="M535" s="967"/>
      <c r="N535" s="967"/>
      <c r="O535" s="1007"/>
      <c r="P535" s="1007"/>
      <c r="Q535" s="1008"/>
    </row>
    <row r="536" spans="1:17" hidden="1">
      <c r="A536" s="966"/>
      <c r="B536" s="967"/>
      <c r="C536" s="967">
        <v>500</v>
      </c>
      <c r="D536" s="967"/>
      <c r="E536" s="968"/>
      <c r="F536" s="968"/>
      <c r="G536" s="968"/>
      <c r="H536" s="968"/>
      <c r="I536" s="968"/>
      <c r="J536" s="968"/>
      <c r="K536" s="967"/>
      <c r="L536" s="967"/>
      <c r="M536" s="967"/>
      <c r="N536" s="967"/>
      <c r="O536" s="1007"/>
      <c r="P536" s="1007"/>
      <c r="Q536" s="1008"/>
    </row>
    <row r="537" spans="1:17" hidden="1">
      <c r="A537" s="966"/>
      <c r="B537" s="967"/>
      <c r="C537" s="967">
        <v>501</v>
      </c>
      <c r="D537" s="967"/>
      <c r="E537" s="968"/>
      <c r="F537" s="968"/>
      <c r="G537" s="968"/>
      <c r="H537" s="968"/>
      <c r="I537" s="968"/>
      <c r="J537" s="968"/>
      <c r="K537" s="967"/>
      <c r="L537" s="967"/>
      <c r="M537" s="967"/>
      <c r="N537" s="967"/>
      <c r="O537" s="1007"/>
      <c r="P537" s="1007"/>
      <c r="Q537" s="1008"/>
    </row>
    <row r="538" spans="1:17" hidden="1">
      <c r="A538" s="966"/>
      <c r="B538" s="967"/>
      <c r="C538" s="967">
        <v>502</v>
      </c>
      <c r="D538" s="967"/>
      <c r="E538" s="968"/>
      <c r="F538" s="968"/>
      <c r="G538" s="968"/>
      <c r="H538" s="968"/>
      <c r="I538" s="968"/>
      <c r="J538" s="968"/>
      <c r="K538" s="967"/>
      <c r="L538" s="967"/>
      <c r="M538" s="967"/>
      <c r="N538" s="967"/>
      <c r="O538" s="1007"/>
      <c r="P538" s="1007"/>
      <c r="Q538" s="1008"/>
    </row>
    <row r="539" spans="1:17" hidden="1">
      <c r="A539" s="966"/>
      <c r="B539" s="967"/>
      <c r="C539" s="967">
        <v>503</v>
      </c>
      <c r="D539" s="967"/>
      <c r="E539" s="968"/>
      <c r="F539" s="968"/>
      <c r="G539" s="968"/>
      <c r="H539" s="968"/>
      <c r="I539" s="968"/>
      <c r="J539" s="968"/>
      <c r="K539" s="967"/>
      <c r="L539" s="967"/>
      <c r="M539" s="967"/>
      <c r="N539" s="967"/>
      <c r="O539" s="1007"/>
      <c r="P539" s="1007"/>
      <c r="Q539" s="1008"/>
    </row>
    <row r="540" spans="1:17" hidden="1">
      <c r="A540" s="966"/>
      <c r="B540" s="967"/>
      <c r="C540" s="967">
        <v>504</v>
      </c>
      <c r="D540" s="967"/>
      <c r="E540" s="968"/>
      <c r="F540" s="968"/>
      <c r="G540" s="968"/>
      <c r="H540" s="968"/>
      <c r="I540" s="968"/>
      <c r="J540" s="968"/>
      <c r="K540" s="967"/>
      <c r="L540" s="967"/>
      <c r="M540" s="967"/>
      <c r="N540" s="967"/>
      <c r="O540" s="1007"/>
      <c r="P540" s="1007"/>
      <c r="Q540" s="1008"/>
    </row>
    <row r="541" spans="1:17" hidden="1">
      <c r="A541" s="966"/>
      <c r="B541" s="967"/>
      <c r="C541" s="967">
        <v>505</v>
      </c>
      <c r="D541" s="967"/>
      <c r="E541" s="968"/>
      <c r="F541" s="968"/>
      <c r="G541" s="968"/>
      <c r="H541" s="968"/>
      <c r="I541" s="968"/>
      <c r="J541" s="968"/>
      <c r="K541" s="967"/>
      <c r="L541" s="967"/>
      <c r="M541" s="967"/>
      <c r="N541" s="967"/>
      <c r="O541" s="1007"/>
      <c r="P541" s="1007"/>
      <c r="Q541" s="1008"/>
    </row>
    <row r="542" spans="1:17" hidden="1">
      <c r="A542" s="966"/>
      <c r="B542" s="967"/>
      <c r="C542" s="967">
        <v>506</v>
      </c>
      <c r="D542" s="967"/>
      <c r="E542" s="968"/>
      <c r="F542" s="968"/>
      <c r="G542" s="968"/>
      <c r="H542" s="968"/>
      <c r="I542" s="968"/>
      <c r="J542" s="968"/>
      <c r="K542" s="967"/>
      <c r="L542" s="967"/>
      <c r="M542" s="967"/>
      <c r="N542" s="967"/>
      <c r="O542" s="1007"/>
      <c r="P542" s="1007"/>
      <c r="Q542" s="1008"/>
    </row>
    <row r="543" spans="1:17" hidden="1">
      <c r="A543" s="966"/>
      <c r="B543" s="967"/>
      <c r="C543" s="967">
        <v>507</v>
      </c>
      <c r="D543" s="967"/>
      <c r="E543" s="968"/>
      <c r="F543" s="968"/>
      <c r="G543" s="968"/>
      <c r="H543" s="968"/>
      <c r="I543" s="968"/>
      <c r="J543" s="968"/>
      <c r="K543" s="967"/>
      <c r="L543" s="967"/>
      <c r="M543" s="967"/>
      <c r="N543" s="967"/>
      <c r="O543" s="1007"/>
      <c r="P543" s="1007"/>
      <c r="Q543" s="1008"/>
    </row>
    <row r="544" spans="1:17" hidden="1">
      <c r="A544" s="966"/>
      <c r="B544" s="967"/>
      <c r="C544" s="967">
        <v>508</v>
      </c>
      <c r="D544" s="967"/>
      <c r="E544" s="968"/>
      <c r="F544" s="968"/>
      <c r="G544" s="968"/>
      <c r="H544" s="968"/>
      <c r="I544" s="968"/>
      <c r="J544" s="968"/>
      <c r="K544" s="967"/>
      <c r="L544" s="967"/>
      <c r="M544" s="967"/>
      <c r="N544" s="967"/>
      <c r="O544" s="1007"/>
      <c r="P544" s="1007"/>
      <c r="Q544" s="1008"/>
    </row>
    <row r="545" spans="1:17" hidden="1">
      <c r="A545" s="966"/>
      <c r="B545" s="967"/>
      <c r="C545" s="967">
        <v>509</v>
      </c>
      <c r="D545" s="967"/>
      <c r="E545" s="968"/>
      <c r="F545" s="968"/>
      <c r="G545" s="968"/>
      <c r="H545" s="968"/>
      <c r="I545" s="968"/>
      <c r="J545" s="968"/>
      <c r="K545" s="967"/>
      <c r="L545" s="967"/>
      <c r="M545" s="967"/>
      <c r="N545" s="967"/>
      <c r="O545" s="1007"/>
      <c r="P545" s="1007"/>
      <c r="Q545" s="1008"/>
    </row>
    <row r="546" spans="1:17" hidden="1">
      <c r="A546" s="966"/>
      <c r="B546" s="967"/>
      <c r="C546" s="967">
        <v>510</v>
      </c>
      <c r="D546" s="967"/>
      <c r="E546" s="968"/>
      <c r="F546" s="968"/>
      <c r="G546" s="968"/>
      <c r="H546" s="968"/>
      <c r="I546" s="968"/>
      <c r="J546" s="968"/>
      <c r="K546" s="967"/>
      <c r="L546" s="967"/>
      <c r="M546" s="967"/>
      <c r="N546" s="967"/>
      <c r="O546" s="1007"/>
      <c r="P546" s="1007"/>
      <c r="Q546" s="1008"/>
    </row>
    <row r="547" spans="1:17" hidden="1">
      <c r="A547" s="966"/>
      <c r="B547" s="967"/>
      <c r="C547" s="967">
        <v>511</v>
      </c>
      <c r="D547" s="967"/>
      <c r="E547" s="968"/>
      <c r="F547" s="968"/>
      <c r="G547" s="968"/>
      <c r="H547" s="968"/>
      <c r="I547" s="968"/>
      <c r="J547" s="968"/>
      <c r="K547" s="967"/>
      <c r="L547" s="967"/>
      <c r="M547" s="967"/>
      <c r="N547" s="967"/>
      <c r="O547" s="1007"/>
      <c r="P547" s="1007"/>
      <c r="Q547" s="1008"/>
    </row>
    <row r="548" spans="1:17" hidden="1">
      <c r="A548" s="966"/>
      <c r="B548" s="967"/>
      <c r="C548" s="967">
        <v>512</v>
      </c>
      <c r="D548" s="967"/>
      <c r="E548" s="968"/>
      <c r="F548" s="968"/>
      <c r="G548" s="968"/>
      <c r="H548" s="968"/>
      <c r="I548" s="968"/>
      <c r="J548" s="968"/>
      <c r="K548" s="967"/>
      <c r="L548" s="967"/>
      <c r="M548" s="967"/>
      <c r="N548" s="967"/>
      <c r="O548" s="1007"/>
      <c r="P548" s="1007"/>
      <c r="Q548" s="1008"/>
    </row>
    <row r="549" spans="1:17" hidden="1">
      <c r="A549" s="966"/>
      <c r="B549" s="967"/>
      <c r="C549" s="967">
        <v>513</v>
      </c>
      <c r="D549" s="967"/>
      <c r="E549" s="968"/>
      <c r="F549" s="968"/>
      <c r="G549" s="968"/>
      <c r="H549" s="968"/>
      <c r="I549" s="968"/>
      <c r="J549" s="968"/>
      <c r="K549" s="967"/>
      <c r="L549" s="967"/>
      <c r="M549" s="967"/>
      <c r="N549" s="967"/>
      <c r="O549" s="1007"/>
      <c r="P549" s="1007"/>
      <c r="Q549" s="1008"/>
    </row>
    <row r="550" spans="1:17" hidden="1">
      <c r="A550" s="966"/>
      <c r="B550" s="967"/>
      <c r="C550" s="967">
        <v>514</v>
      </c>
      <c r="D550" s="967"/>
      <c r="E550" s="968"/>
      <c r="F550" s="968"/>
      <c r="G550" s="968"/>
      <c r="H550" s="968"/>
      <c r="I550" s="968"/>
      <c r="J550" s="968"/>
      <c r="K550" s="967"/>
      <c r="L550" s="967"/>
      <c r="M550" s="967"/>
      <c r="N550" s="967"/>
      <c r="O550" s="1007"/>
      <c r="P550" s="1007"/>
      <c r="Q550" s="1008"/>
    </row>
    <row r="551" spans="1:17" hidden="1">
      <c r="A551" s="966"/>
      <c r="B551" s="967"/>
      <c r="C551" s="967">
        <v>515</v>
      </c>
      <c r="D551" s="967"/>
      <c r="E551" s="968"/>
      <c r="F551" s="968"/>
      <c r="G551" s="968"/>
      <c r="H551" s="968"/>
      <c r="I551" s="968"/>
      <c r="J551" s="968"/>
      <c r="K551" s="967"/>
      <c r="L551" s="967"/>
      <c r="M551" s="967"/>
      <c r="N551" s="967"/>
      <c r="O551" s="1007"/>
      <c r="P551" s="1007"/>
      <c r="Q551" s="1008"/>
    </row>
    <row r="552" spans="1:17" hidden="1">
      <c r="A552" s="966"/>
      <c r="B552" s="967"/>
      <c r="C552" s="967">
        <v>516</v>
      </c>
      <c r="D552" s="967"/>
      <c r="E552" s="968"/>
      <c r="F552" s="968"/>
      <c r="G552" s="968"/>
      <c r="H552" s="968"/>
      <c r="I552" s="968"/>
      <c r="J552" s="968"/>
      <c r="K552" s="967"/>
      <c r="L552" s="967"/>
      <c r="M552" s="967"/>
      <c r="N552" s="967"/>
      <c r="O552" s="1007"/>
      <c r="P552" s="1007"/>
      <c r="Q552" s="1008"/>
    </row>
    <row r="553" spans="1:17" hidden="1">
      <c r="A553" s="966"/>
      <c r="B553" s="967"/>
      <c r="C553" s="967">
        <v>517</v>
      </c>
      <c r="D553" s="967"/>
      <c r="E553" s="968"/>
      <c r="F553" s="968"/>
      <c r="G553" s="968"/>
      <c r="H553" s="968"/>
      <c r="I553" s="968"/>
      <c r="J553" s="968"/>
      <c r="K553" s="967"/>
      <c r="L553" s="967"/>
      <c r="M553" s="967"/>
      <c r="N553" s="967"/>
      <c r="O553" s="1007"/>
      <c r="P553" s="1007"/>
      <c r="Q553" s="1008"/>
    </row>
    <row r="554" spans="1:17" hidden="1">
      <c r="A554" s="966"/>
      <c r="B554" s="967"/>
      <c r="C554" s="967">
        <v>518</v>
      </c>
      <c r="D554" s="967"/>
      <c r="E554" s="968"/>
      <c r="F554" s="968"/>
      <c r="G554" s="968"/>
      <c r="H554" s="968"/>
      <c r="I554" s="968"/>
      <c r="J554" s="968"/>
      <c r="K554" s="967"/>
      <c r="L554" s="967"/>
      <c r="M554" s="967"/>
      <c r="N554" s="967"/>
      <c r="O554" s="1007"/>
      <c r="P554" s="1007"/>
      <c r="Q554" s="1008"/>
    </row>
    <row r="555" spans="1:17" hidden="1">
      <c r="A555" s="966"/>
      <c r="B555" s="967"/>
      <c r="C555" s="967">
        <v>519</v>
      </c>
      <c r="D555" s="967"/>
      <c r="E555" s="968"/>
      <c r="F555" s="968"/>
      <c r="G555" s="968"/>
      <c r="H555" s="968"/>
      <c r="I555" s="968"/>
      <c r="J555" s="968"/>
      <c r="K555" s="967"/>
      <c r="L555" s="967"/>
      <c r="M555" s="967"/>
      <c r="N555" s="967"/>
      <c r="O555" s="1007"/>
      <c r="P555" s="1007"/>
      <c r="Q555" s="1008"/>
    </row>
    <row r="556" spans="1:17" hidden="1">
      <c r="A556" s="966"/>
      <c r="B556" s="967"/>
      <c r="C556" s="967">
        <v>520</v>
      </c>
      <c r="D556" s="967"/>
      <c r="E556" s="968"/>
      <c r="F556" s="968"/>
      <c r="G556" s="968"/>
      <c r="H556" s="968"/>
      <c r="I556" s="968"/>
      <c r="J556" s="968"/>
      <c r="K556" s="967"/>
      <c r="L556" s="967"/>
      <c r="M556" s="967"/>
      <c r="N556" s="967"/>
      <c r="O556" s="1007"/>
      <c r="P556" s="1007"/>
      <c r="Q556" s="1008"/>
    </row>
    <row r="557" spans="1:17" hidden="1">
      <c r="A557" s="966"/>
      <c r="B557" s="967"/>
      <c r="C557" s="967">
        <v>521</v>
      </c>
      <c r="D557" s="967"/>
      <c r="E557" s="968"/>
      <c r="F557" s="968"/>
      <c r="G557" s="968"/>
      <c r="H557" s="968"/>
      <c r="I557" s="968"/>
      <c r="J557" s="968"/>
      <c r="K557" s="967"/>
      <c r="L557" s="967"/>
      <c r="M557" s="967"/>
      <c r="N557" s="967"/>
      <c r="O557" s="1007"/>
      <c r="P557" s="1007"/>
      <c r="Q557" s="1008"/>
    </row>
    <row r="558" spans="1:17" hidden="1">
      <c r="A558" s="966"/>
      <c r="B558" s="967"/>
      <c r="C558" s="967">
        <v>522</v>
      </c>
      <c r="D558" s="967"/>
      <c r="E558" s="968"/>
      <c r="F558" s="968"/>
      <c r="G558" s="968"/>
      <c r="H558" s="968"/>
      <c r="I558" s="968"/>
      <c r="J558" s="968"/>
      <c r="K558" s="967"/>
      <c r="L558" s="967"/>
      <c r="M558" s="967"/>
      <c r="N558" s="967"/>
      <c r="O558" s="1007"/>
      <c r="P558" s="1007"/>
      <c r="Q558" s="1008"/>
    </row>
    <row r="559" spans="1:17" hidden="1">
      <c r="A559" s="966"/>
      <c r="B559" s="967"/>
      <c r="C559" s="967">
        <v>523</v>
      </c>
      <c r="D559" s="967"/>
      <c r="E559" s="968"/>
      <c r="F559" s="968"/>
      <c r="G559" s="968"/>
      <c r="H559" s="968"/>
      <c r="I559" s="968"/>
      <c r="J559" s="968"/>
      <c r="K559" s="967"/>
      <c r="L559" s="967"/>
      <c r="M559" s="967"/>
      <c r="N559" s="967"/>
      <c r="O559" s="1007"/>
      <c r="P559" s="1007"/>
      <c r="Q559" s="1008"/>
    </row>
    <row r="560" spans="1:17" hidden="1">
      <c r="A560" s="966"/>
      <c r="B560" s="967"/>
      <c r="C560" s="967">
        <v>524</v>
      </c>
      <c r="D560" s="967"/>
      <c r="E560" s="968"/>
      <c r="F560" s="968"/>
      <c r="G560" s="968"/>
      <c r="H560" s="968"/>
      <c r="I560" s="968"/>
      <c r="J560" s="968"/>
      <c r="K560" s="967"/>
      <c r="L560" s="967"/>
      <c r="M560" s="967"/>
      <c r="N560" s="967"/>
      <c r="O560" s="1007"/>
      <c r="P560" s="1007"/>
      <c r="Q560" s="1008"/>
    </row>
    <row r="561" spans="1:17" hidden="1">
      <c r="A561" s="966"/>
      <c r="B561" s="967"/>
      <c r="C561" s="967">
        <v>525</v>
      </c>
      <c r="D561" s="967"/>
      <c r="E561" s="968"/>
      <c r="F561" s="968"/>
      <c r="G561" s="968"/>
      <c r="H561" s="968"/>
      <c r="I561" s="968"/>
      <c r="J561" s="968"/>
      <c r="K561" s="967"/>
      <c r="L561" s="967"/>
      <c r="M561" s="967"/>
      <c r="N561" s="967"/>
      <c r="O561" s="1007"/>
      <c r="P561" s="1007"/>
      <c r="Q561" s="1008"/>
    </row>
    <row r="562" spans="1:17" hidden="1">
      <c r="A562" s="966"/>
      <c r="B562" s="967"/>
      <c r="C562" s="967">
        <v>526</v>
      </c>
      <c r="D562" s="967"/>
      <c r="E562" s="968"/>
      <c r="F562" s="968"/>
      <c r="G562" s="968"/>
      <c r="H562" s="968"/>
      <c r="I562" s="968"/>
      <c r="J562" s="968"/>
      <c r="K562" s="967"/>
      <c r="L562" s="967"/>
      <c r="M562" s="967"/>
      <c r="N562" s="967"/>
      <c r="O562" s="1007"/>
      <c r="P562" s="1007"/>
      <c r="Q562" s="1008"/>
    </row>
    <row r="563" spans="1:17" hidden="1">
      <c r="A563" s="966"/>
      <c r="B563" s="967"/>
      <c r="C563" s="967">
        <v>527</v>
      </c>
      <c r="D563" s="967"/>
      <c r="E563" s="968"/>
      <c r="F563" s="968"/>
      <c r="G563" s="968"/>
      <c r="H563" s="968"/>
      <c r="I563" s="968"/>
      <c r="J563" s="968"/>
      <c r="K563" s="967"/>
      <c r="L563" s="967"/>
      <c r="M563" s="967"/>
      <c r="N563" s="967"/>
      <c r="O563" s="1007"/>
      <c r="P563" s="1007"/>
      <c r="Q563" s="1008"/>
    </row>
    <row r="564" spans="1:17" hidden="1">
      <c r="A564" s="966"/>
      <c r="B564" s="967"/>
      <c r="C564" s="967">
        <v>528</v>
      </c>
      <c r="D564" s="967"/>
      <c r="E564" s="968"/>
      <c r="F564" s="968"/>
      <c r="G564" s="968"/>
      <c r="H564" s="968"/>
      <c r="I564" s="968"/>
      <c r="J564" s="968"/>
      <c r="K564" s="967"/>
      <c r="L564" s="967"/>
      <c r="M564" s="967"/>
      <c r="N564" s="967"/>
      <c r="O564" s="1007"/>
      <c r="P564" s="1007"/>
      <c r="Q564" s="1008"/>
    </row>
    <row r="565" spans="1:17" hidden="1">
      <c r="A565" s="966"/>
      <c r="B565" s="967"/>
      <c r="C565" s="967">
        <v>529</v>
      </c>
      <c r="D565" s="967"/>
      <c r="E565" s="968"/>
      <c r="F565" s="968"/>
      <c r="G565" s="968"/>
      <c r="H565" s="968"/>
      <c r="I565" s="968"/>
      <c r="J565" s="968"/>
      <c r="K565" s="967"/>
      <c r="L565" s="967"/>
      <c r="M565" s="967"/>
      <c r="N565" s="967"/>
      <c r="O565" s="1007"/>
      <c r="P565" s="1007"/>
      <c r="Q565" s="1008"/>
    </row>
    <row r="566" spans="1:17" hidden="1">
      <c r="A566" s="966"/>
      <c r="B566" s="967"/>
      <c r="C566" s="967">
        <v>530</v>
      </c>
      <c r="D566" s="967"/>
      <c r="E566" s="968"/>
      <c r="F566" s="968"/>
      <c r="G566" s="968"/>
      <c r="H566" s="968"/>
      <c r="I566" s="968"/>
      <c r="J566" s="968"/>
      <c r="K566" s="967"/>
      <c r="L566" s="967"/>
      <c r="M566" s="967"/>
      <c r="N566" s="967"/>
      <c r="O566" s="1007"/>
      <c r="P566" s="1007"/>
      <c r="Q566" s="1008"/>
    </row>
    <row r="567" spans="1:17" hidden="1">
      <c r="A567" s="966"/>
      <c r="B567" s="967"/>
      <c r="C567" s="967">
        <v>531</v>
      </c>
      <c r="D567" s="967"/>
      <c r="E567" s="968"/>
      <c r="F567" s="968"/>
      <c r="G567" s="968"/>
      <c r="H567" s="968"/>
      <c r="I567" s="968"/>
      <c r="J567" s="968"/>
      <c r="K567" s="967"/>
      <c r="L567" s="967"/>
      <c r="M567" s="967"/>
      <c r="N567" s="967"/>
      <c r="O567" s="1007"/>
      <c r="P567" s="1007"/>
      <c r="Q567" s="1008"/>
    </row>
    <row r="568" spans="1:17" hidden="1">
      <c r="A568" s="966"/>
      <c r="B568" s="967"/>
      <c r="C568" s="967">
        <v>532</v>
      </c>
      <c r="D568" s="967"/>
      <c r="E568" s="968"/>
      <c r="F568" s="968"/>
      <c r="G568" s="968"/>
      <c r="H568" s="968"/>
      <c r="I568" s="968"/>
      <c r="J568" s="968"/>
      <c r="K568" s="967"/>
      <c r="L568" s="967"/>
      <c r="M568" s="967"/>
      <c r="N568" s="967"/>
      <c r="O568" s="1007"/>
      <c r="P568" s="1007"/>
      <c r="Q568" s="1008"/>
    </row>
    <row r="569" spans="1:17" hidden="1">
      <c r="A569" s="966"/>
      <c r="B569" s="967"/>
      <c r="C569" s="967">
        <v>533</v>
      </c>
      <c r="D569" s="967"/>
      <c r="E569" s="968"/>
      <c r="F569" s="968"/>
      <c r="G569" s="968"/>
      <c r="H569" s="968"/>
      <c r="I569" s="968"/>
      <c r="J569" s="968"/>
      <c r="K569" s="967"/>
      <c r="L569" s="967"/>
      <c r="M569" s="967"/>
      <c r="N569" s="967"/>
      <c r="O569" s="1007"/>
      <c r="P569" s="1007"/>
      <c r="Q569" s="1008"/>
    </row>
    <row r="570" spans="1:17" hidden="1">
      <c r="A570" s="966"/>
      <c r="B570" s="967"/>
      <c r="C570" s="967">
        <v>534</v>
      </c>
      <c r="D570" s="967"/>
      <c r="E570" s="968"/>
      <c r="F570" s="968"/>
      <c r="G570" s="968"/>
      <c r="H570" s="968"/>
      <c r="I570" s="968"/>
      <c r="J570" s="968"/>
      <c r="K570" s="967"/>
      <c r="L570" s="967"/>
      <c r="M570" s="967"/>
      <c r="N570" s="967"/>
      <c r="O570" s="1007"/>
      <c r="P570" s="1007"/>
      <c r="Q570" s="1008"/>
    </row>
    <row r="571" spans="1:17" hidden="1">
      <c r="A571" s="966"/>
      <c r="B571" s="967"/>
      <c r="C571" s="967">
        <v>535</v>
      </c>
      <c r="D571" s="967"/>
      <c r="E571" s="968"/>
      <c r="F571" s="968"/>
      <c r="G571" s="968"/>
      <c r="H571" s="968"/>
      <c r="I571" s="968"/>
      <c r="J571" s="968"/>
      <c r="K571" s="967"/>
      <c r="L571" s="967"/>
      <c r="M571" s="967"/>
      <c r="N571" s="967"/>
      <c r="O571" s="1007"/>
      <c r="P571" s="1007"/>
      <c r="Q571" s="1008"/>
    </row>
    <row r="572" spans="1:17" hidden="1">
      <c r="A572" s="966"/>
      <c r="B572" s="967"/>
      <c r="C572" s="967">
        <v>536</v>
      </c>
      <c r="D572" s="967"/>
      <c r="E572" s="968"/>
      <c r="F572" s="968"/>
      <c r="G572" s="968"/>
      <c r="H572" s="968"/>
      <c r="I572" s="968"/>
      <c r="J572" s="968"/>
      <c r="K572" s="967"/>
      <c r="L572" s="967"/>
      <c r="M572" s="967"/>
      <c r="N572" s="967"/>
      <c r="O572" s="1007"/>
      <c r="P572" s="1007"/>
      <c r="Q572" s="1008"/>
    </row>
    <row r="573" spans="1:17" hidden="1">
      <c r="A573" s="966"/>
      <c r="B573" s="967"/>
      <c r="C573" s="967">
        <v>537</v>
      </c>
      <c r="D573" s="967"/>
      <c r="E573" s="968"/>
      <c r="F573" s="968"/>
      <c r="G573" s="968"/>
      <c r="H573" s="968"/>
      <c r="I573" s="968"/>
      <c r="J573" s="968"/>
      <c r="K573" s="967"/>
      <c r="L573" s="967"/>
      <c r="M573" s="967"/>
      <c r="N573" s="967"/>
      <c r="O573" s="1007"/>
      <c r="P573" s="1007"/>
      <c r="Q573" s="1008"/>
    </row>
    <row r="574" spans="1:17" hidden="1">
      <c r="A574" s="966"/>
      <c r="B574" s="967"/>
      <c r="C574" s="967">
        <v>538</v>
      </c>
      <c r="D574" s="967"/>
      <c r="E574" s="968"/>
      <c r="F574" s="968"/>
      <c r="G574" s="968"/>
      <c r="H574" s="968"/>
      <c r="I574" s="968"/>
      <c r="J574" s="968"/>
      <c r="K574" s="967"/>
      <c r="L574" s="967"/>
      <c r="M574" s="967"/>
      <c r="N574" s="967"/>
      <c r="O574" s="1007"/>
      <c r="P574" s="1007"/>
      <c r="Q574" s="1008"/>
    </row>
    <row r="575" spans="1:17" hidden="1">
      <c r="A575" s="966"/>
      <c r="B575" s="967"/>
      <c r="C575" s="967">
        <v>539</v>
      </c>
      <c r="D575" s="967"/>
      <c r="E575" s="968"/>
      <c r="F575" s="968"/>
      <c r="G575" s="968"/>
      <c r="H575" s="968"/>
      <c r="I575" s="968"/>
      <c r="J575" s="968"/>
      <c r="K575" s="967"/>
      <c r="L575" s="967"/>
      <c r="M575" s="967"/>
      <c r="N575" s="967"/>
      <c r="O575" s="1007"/>
      <c r="P575" s="1007"/>
      <c r="Q575" s="1008"/>
    </row>
    <row r="576" spans="1:17" hidden="1">
      <c r="A576" s="966"/>
      <c r="B576" s="967"/>
      <c r="C576" s="967">
        <v>540</v>
      </c>
      <c r="D576" s="967"/>
      <c r="E576" s="968"/>
      <c r="F576" s="968"/>
      <c r="G576" s="968"/>
      <c r="H576" s="968"/>
      <c r="I576" s="968"/>
      <c r="J576" s="968"/>
      <c r="K576" s="967"/>
      <c r="L576" s="967"/>
      <c r="M576" s="967"/>
      <c r="N576" s="967"/>
      <c r="O576" s="1007"/>
      <c r="P576" s="1007"/>
      <c r="Q576" s="1008"/>
    </row>
    <row r="577" spans="1:17" hidden="1">
      <c r="A577" s="966"/>
      <c r="B577" s="967"/>
      <c r="C577" s="967">
        <v>541</v>
      </c>
      <c r="D577" s="967"/>
      <c r="E577" s="968"/>
      <c r="F577" s="968"/>
      <c r="G577" s="968"/>
      <c r="H577" s="968"/>
      <c r="I577" s="968"/>
      <c r="J577" s="968"/>
      <c r="K577" s="967"/>
      <c r="L577" s="967"/>
      <c r="M577" s="967"/>
      <c r="N577" s="967"/>
      <c r="O577" s="1007"/>
      <c r="P577" s="1007"/>
      <c r="Q577" s="1008"/>
    </row>
    <row r="578" spans="1:17" hidden="1">
      <c r="A578" s="966"/>
      <c r="B578" s="967"/>
      <c r="C578" s="967">
        <v>542</v>
      </c>
      <c r="D578" s="967"/>
      <c r="E578" s="968"/>
      <c r="F578" s="968"/>
      <c r="G578" s="968"/>
      <c r="H578" s="968"/>
      <c r="I578" s="968"/>
      <c r="J578" s="968"/>
      <c r="K578" s="967"/>
      <c r="L578" s="967"/>
      <c r="M578" s="967"/>
      <c r="N578" s="967"/>
      <c r="O578" s="1007"/>
      <c r="P578" s="1007"/>
      <c r="Q578" s="1008"/>
    </row>
    <row r="579" spans="1:17" hidden="1">
      <c r="A579" s="966"/>
      <c r="B579" s="967"/>
      <c r="C579" s="967">
        <v>543</v>
      </c>
      <c r="D579" s="967"/>
      <c r="E579" s="968"/>
      <c r="F579" s="968"/>
      <c r="G579" s="968"/>
      <c r="H579" s="968"/>
      <c r="I579" s="968"/>
      <c r="J579" s="968"/>
      <c r="K579" s="967"/>
      <c r="L579" s="967"/>
      <c r="M579" s="967"/>
      <c r="N579" s="967"/>
      <c r="O579" s="1007"/>
      <c r="P579" s="1007"/>
      <c r="Q579" s="1008"/>
    </row>
    <row r="580" spans="1:17" hidden="1">
      <c r="A580" s="966"/>
      <c r="B580" s="967"/>
      <c r="C580" s="967">
        <v>544</v>
      </c>
      <c r="D580" s="967"/>
      <c r="E580" s="968"/>
      <c r="F580" s="968"/>
      <c r="G580" s="968"/>
      <c r="H580" s="968"/>
      <c r="I580" s="968"/>
      <c r="J580" s="968"/>
      <c r="K580" s="967"/>
      <c r="L580" s="967"/>
      <c r="M580" s="967"/>
      <c r="N580" s="967"/>
      <c r="O580" s="1007"/>
      <c r="P580" s="1007"/>
      <c r="Q580" s="1008"/>
    </row>
    <row r="581" spans="1:17" hidden="1">
      <c r="A581" s="966"/>
      <c r="B581" s="967"/>
      <c r="C581" s="967">
        <v>545</v>
      </c>
      <c r="D581" s="967"/>
      <c r="E581" s="968"/>
      <c r="F581" s="968"/>
      <c r="G581" s="968"/>
      <c r="H581" s="968"/>
      <c r="I581" s="968"/>
      <c r="J581" s="968"/>
      <c r="K581" s="967"/>
      <c r="L581" s="967"/>
      <c r="M581" s="967"/>
      <c r="N581" s="967"/>
      <c r="O581" s="1007"/>
      <c r="P581" s="1007"/>
      <c r="Q581" s="1008"/>
    </row>
    <row r="582" spans="1:17" hidden="1">
      <c r="A582" s="966"/>
      <c r="B582" s="967"/>
      <c r="C582" s="967">
        <v>546</v>
      </c>
      <c r="D582" s="967"/>
      <c r="E582" s="968"/>
      <c r="F582" s="968"/>
      <c r="G582" s="968"/>
      <c r="H582" s="968"/>
      <c r="I582" s="968"/>
      <c r="J582" s="968"/>
      <c r="K582" s="967"/>
      <c r="L582" s="967"/>
      <c r="M582" s="967"/>
      <c r="N582" s="967"/>
      <c r="O582" s="1007"/>
      <c r="P582" s="1007"/>
      <c r="Q582" s="1008"/>
    </row>
    <row r="583" spans="1:17" hidden="1">
      <c r="A583" s="966"/>
      <c r="B583" s="967"/>
      <c r="C583" s="967">
        <v>547</v>
      </c>
      <c r="D583" s="967"/>
      <c r="E583" s="968"/>
      <c r="F583" s="968"/>
      <c r="G583" s="968"/>
      <c r="H583" s="968"/>
      <c r="I583" s="968"/>
      <c r="J583" s="968"/>
      <c r="K583" s="967"/>
      <c r="L583" s="967"/>
      <c r="M583" s="967"/>
      <c r="N583" s="967"/>
      <c r="O583" s="1007"/>
      <c r="P583" s="1007"/>
      <c r="Q583" s="1008"/>
    </row>
    <row r="584" spans="1:17" hidden="1">
      <c r="A584" s="966"/>
      <c r="B584" s="967"/>
      <c r="C584" s="967">
        <v>548</v>
      </c>
      <c r="D584" s="967"/>
      <c r="E584" s="968"/>
      <c r="F584" s="968"/>
      <c r="G584" s="968"/>
      <c r="H584" s="968"/>
      <c r="I584" s="968"/>
      <c r="J584" s="968"/>
      <c r="K584" s="967"/>
      <c r="L584" s="967"/>
      <c r="M584" s="967"/>
      <c r="N584" s="967"/>
      <c r="O584" s="1007"/>
      <c r="P584" s="1007"/>
      <c r="Q584" s="1008"/>
    </row>
    <row r="585" spans="1:17" hidden="1">
      <c r="A585" s="966"/>
      <c r="B585" s="967"/>
      <c r="C585" s="967">
        <v>549</v>
      </c>
      <c r="D585" s="967"/>
      <c r="E585" s="968"/>
      <c r="F585" s="968"/>
      <c r="G585" s="968"/>
      <c r="H585" s="968"/>
      <c r="I585" s="968"/>
      <c r="J585" s="968"/>
      <c r="K585" s="967"/>
      <c r="L585" s="967"/>
      <c r="M585" s="967"/>
      <c r="N585" s="967"/>
      <c r="O585" s="1007"/>
      <c r="P585" s="1007"/>
      <c r="Q585" s="1008"/>
    </row>
    <row r="586" spans="1:17" hidden="1">
      <c r="A586" s="966"/>
      <c r="B586" s="967"/>
      <c r="C586" s="967">
        <v>550</v>
      </c>
      <c r="D586" s="967"/>
      <c r="E586" s="968"/>
      <c r="F586" s="968"/>
      <c r="G586" s="968"/>
      <c r="H586" s="968"/>
      <c r="I586" s="968"/>
      <c r="J586" s="968"/>
      <c r="K586" s="967"/>
      <c r="L586" s="967"/>
      <c r="M586" s="967"/>
      <c r="N586" s="967"/>
      <c r="O586" s="1007"/>
      <c r="P586" s="1007"/>
      <c r="Q586" s="1008"/>
    </row>
    <row r="587" spans="1:17" hidden="1">
      <c r="A587" s="966"/>
      <c r="B587" s="967"/>
      <c r="C587" s="967">
        <v>551</v>
      </c>
      <c r="D587" s="967"/>
      <c r="E587" s="968"/>
      <c r="F587" s="968"/>
      <c r="G587" s="968"/>
      <c r="H587" s="968"/>
      <c r="I587" s="968"/>
      <c r="J587" s="968"/>
      <c r="K587" s="967"/>
      <c r="L587" s="967"/>
      <c r="M587" s="967"/>
      <c r="N587" s="967"/>
      <c r="O587" s="1007"/>
      <c r="P587" s="1007"/>
      <c r="Q587" s="1008"/>
    </row>
    <row r="588" spans="1:17" hidden="1">
      <c r="A588" s="966"/>
      <c r="B588" s="967"/>
      <c r="C588" s="967">
        <v>552</v>
      </c>
      <c r="D588" s="967"/>
      <c r="E588" s="968"/>
      <c r="F588" s="968"/>
      <c r="G588" s="968"/>
      <c r="H588" s="968"/>
      <c r="I588" s="968"/>
      <c r="J588" s="968"/>
      <c r="K588" s="967"/>
      <c r="L588" s="967"/>
      <c r="M588" s="967"/>
      <c r="N588" s="967"/>
      <c r="O588" s="1007"/>
      <c r="P588" s="1007"/>
      <c r="Q588" s="1008"/>
    </row>
    <row r="589" spans="1:17" hidden="1">
      <c r="A589" s="966"/>
      <c r="B589" s="967"/>
      <c r="C589" s="967">
        <v>553</v>
      </c>
      <c r="D589" s="967"/>
      <c r="E589" s="968"/>
      <c r="F589" s="968"/>
      <c r="G589" s="968"/>
      <c r="H589" s="968"/>
      <c r="I589" s="968"/>
      <c r="J589" s="968"/>
      <c r="K589" s="967"/>
      <c r="L589" s="967"/>
      <c r="M589" s="967"/>
      <c r="N589" s="967"/>
      <c r="O589" s="1007"/>
      <c r="P589" s="1007"/>
      <c r="Q589" s="1008"/>
    </row>
    <row r="590" spans="1:17" hidden="1">
      <c r="A590" s="966"/>
      <c r="B590" s="967"/>
      <c r="C590" s="967">
        <v>554</v>
      </c>
      <c r="D590" s="967"/>
      <c r="E590" s="968"/>
      <c r="F590" s="968"/>
      <c r="G590" s="968"/>
      <c r="H590" s="968"/>
      <c r="I590" s="968"/>
      <c r="J590" s="968"/>
      <c r="K590" s="967"/>
      <c r="L590" s="967"/>
      <c r="M590" s="967"/>
      <c r="N590" s="967"/>
      <c r="O590" s="1007"/>
      <c r="P590" s="1007"/>
      <c r="Q590" s="1008"/>
    </row>
    <row r="591" spans="1:17" hidden="1">
      <c r="A591" s="966"/>
      <c r="B591" s="967"/>
      <c r="C591" s="967">
        <v>555</v>
      </c>
      <c r="D591" s="967"/>
      <c r="E591" s="968"/>
      <c r="F591" s="968"/>
      <c r="G591" s="968"/>
      <c r="H591" s="968"/>
      <c r="I591" s="968"/>
      <c r="J591" s="968"/>
      <c r="K591" s="967"/>
      <c r="L591" s="967"/>
      <c r="M591" s="967"/>
      <c r="N591" s="967"/>
      <c r="O591" s="1007"/>
      <c r="P591" s="1007"/>
      <c r="Q591" s="1008"/>
    </row>
    <row r="592" spans="1:17" hidden="1">
      <c r="A592" s="966"/>
      <c r="B592" s="967"/>
      <c r="C592" s="967">
        <v>556</v>
      </c>
      <c r="D592" s="967"/>
      <c r="E592" s="968"/>
      <c r="F592" s="968"/>
      <c r="G592" s="968"/>
      <c r="H592" s="968"/>
      <c r="I592" s="968"/>
      <c r="J592" s="968"/>
      <c r="K592" s="967"/>
      <c r="L592" s="967"/>
      <c r="M592" s="967"/>
      <c r="N592" s="967"/>
      <c r="O592" s="1007"/>
      <c r="P592" s="1007"/>
      <c r="Q592" s="1008"/>
    </row>
    <row r="593" spans="1:17" hidden="1">
      <c r="A593" s="966"/>
      <c r="B593" s="967"/>
      <c r="C593" s="967">
        <v>557</v>
      </c>
      <c r="D593" s="967"/>
      <c r="E593" s="968"/>
      <c r="F593" s="968"/>
      <c r="G593" s="968"/>
      <c r="H593" s="968"/>
      <c r="I593" s="968"/>
      <c r="J593" s="968"/>
      <c r="K593" s="967"/>
      <c r="L593" s="967"/>
      <c r="M593" s="967"/>
      <c r="N593" s="967"/>
      <c r="O593" s="1007"/>
      <c r="P593" s="1007"/>
      <c r="Q593" s="1008"/>
    </row>
    <row r="594" spans="1:17" hidden="1">
      <c r="A594" s="966"/>
      <c r="B594" s="967"/>
      <c r="C594" s="967">
        <v>558</v>
      </c>
      <c r="D594" s="967"/>
      <c r="E594" s="968"/>
      <c r="F594" s="968"/>
      <c r="G594" s="968"/>
      <c r="H594" s="968"/>
      <c r="I594" s="968"/>
      <c r="J594" s="968"/>
      <c r="K594" s="967"/>
      <c r="L594" s="967"/>
      <c r="M594" s="967"/>
      <c r="N594" s="967"/>
      <c r="O594" s="1007"/>
      <c r="P594" s="1007"/>
      <c r="Q594" s="1008"/>
    </row>
    <row r="595" spans="1:17" hidden="1">
      <c r="A595" s="966"/>
      <c r="B595" s="967"/>
      <c r="C595" s="967">
        <v>559</v>
      </c>
      <c r="D595" s="967"/>
      <c r="E595" s="968"/>
      <c r="F595" s="968"/>
      <c r="G595" s="968"/>
      <c r="H595" s="968"/>
      <c r="I595" s="968"/>
      <c r="J595" s="968"/>
      <c r="K595" s="967"/>
      <c r="L595" s="967"/>
      <c r="M595" s="967"/>
      <c r="N595" s="967"/>
      <c r="O595" s="1007"/>
      <c r="P595" s="1007"/>
      <c r="Q595" s="1008"/>
    </row>
    <row r="596" spans="1:17" hidden="1">
      <c r="A596" s="966"/>
      <c r="B596" s="967"/>
      <c r="C596" s="967">
        <v>560</v>
      </c>
      <c r="D596" s="967"/>
      <c r="E596" s="968"/>
      <c r="F596" s="968"/>
      <c r="G596" s="968"/>
      <c r="H596" s="968"/>
      <c r="I596" s="968"/>
      <c r="J596" s="968"/>
      <c r="K596" s="967"/>
      <c r="L596" s="967"/>
      <c r="M596" s="967"/>
      <c r="N596" s="967"/>
      <c r="O596" s="1007"/>
      <c r="P596" s="1007"/>
      <c r="Q596" s="1008"/>
    </row>
    <row r="597" spans="1:17" hidden="1">
      <c r="A597" s="966"/>
      <c r="B597" s="967"/>
      <c r="C597" s="967">
        <v>561</v>
      </c>
      <c r="D597" s="967"/>
      <c r="E597" s="968"/>
      <c r="F597" s="968"/>
      <c r="G597" s="968"/>
      <c r="H597" s="968"/>
      <c r="I597" s="968"/>
      <c r="J597" s="968"/>
      <c r="K597" s="967"/>
      <c r="L597" s="967"/>
      <c r="M597" s="967"/>
      <c r="N597" s="967"/>
      <c r="O597" s="1007"/>
      <c r="P597" s="1007"/>
      <c r="Q597" s="1008"/>
    </row>
    <row r="598" spans="1:17" hidden="1">
      <c r="A598" s="966"/>
      <c r="B598" s="967"/>
      <c r="C598" s="967">
        <v>562</v>
      </c>
      <c r="D598" s="967"/>
      <c r="E598" s="968"/>
      <c r="F598" s="968"/>
      <c r="G598" s="968"/>
      <c r="H598" s="968"/>
      <c r="I598" s="968"/>
      <c r="J598" s="968"/>
      <c r="K598" s="967"/>
      <c r="L598" s="967"/>
      <c r="M598" s="967"/>
      <c r="N598" s="967"/>
      <c r="O598" s="1007"/>
      <c r="P598" s="1007"/>
      <c r="Q598" s="1008"/>
    </row>
    <row r="599" spans="1:17" hidden="1">
      <c r="A599" s="966"/>
      <c r="B599" s="967"/>
      <c r="C599" s="967">
        <v>563</v>
      </c>
      <c r="D599" s="967"/>
      <c r="E599" s="968"/>
      <c r="F599" s="968"/>
      <c r="G599" s="968"/>
      <c r="H599" s="968"/>
      <c r="I599" s="968"/>
      <c r="J599" s="968"/>
      <c r="K599" s="967"/>
      <c r="L599" s="967"/>
      <c r="M599" s="967"/>
      <c r="N599" s="967"/>
      <c r="O599" s="1007"/>
      <c r="P599" s="1007"/>
      <c r="Q599" s="1008"/>
    </row>
    <row r="600" spans="1:17" hidden="1">
      <c r="A600" s="966"/>
      <c r="B600" s="967"/>
      <c r="C600" s="967">
        <v>564</v>
      </c>
      <c r="D600" s="967"/>
      <c r="E600" s="968"/>
      <c r="F600" s="968"/>
      <c r="G600" s="968"/>
      <c r="H600" s="968"/>
      <c r="I600" s="968"/>
      <c r="J600" s="968"/>
      <c r="K600" s="967"/>
      <c r="L600" s="967"/>
      <c r="M600" s="967"/>
      <c r="N600" s="967"/>
      <c r="O600" s="1007"/>
      <c r="P600" s="1007"/>
      <c r="Q600" s="1008"/>
    </row>
    <row r="601" spans="1:17" hidden="1">
      <c r="A601" s="966"/>
      <c r="B601" s="967"/>
      <c r="C601" s="967">
        <v>565</v>
      </c>
      <c r="D601" s="967"/>
      <c r="E601" s="968"/>
      <c r="F601" s="968"/>
      <c r="G601" s="968"/>
      <c r="H601" s="968"/>
      <c r="I601" s="968"/>
      <c r="J601" s="968"/>
      <c r="K601" s="967"/>
      <c r="L601" s="967"/>
      <c r="M601" s="967"/>
      <c r="N601" s="967"/>
      <c r="O601" s="1007"/>
      <c r="P601" s="1007"/>
      <c r="Q601" s="1008"/>
    </row>
    <row r="602" spans="1:17" hidden="1">
      <c r="A602" s="966"/>
      <c r="B602" s="967"/>
      <c r="C602" s="967">
        <v>566</v>
      </c>
      <c r="D602" s="967"/>
      <c r="E602" s="968"/>
      <c r="F602" s="968"/>
      <c r="G602" s="968"/>
      <c r="H602" s="968"/>
      <c r="I602" s="968"/>
      <c r="J602" s="968"/>
      <c r="K602" s="967"/>
      <c r="L602" s="967"/>
      <c r="M602" s="967"/>
      <c r="N602" s="967"/>
      <c r="O602" s="1007"/>
      <c r="P602" s="1007"/>
      <c r="Q602" s="1008"/>
    </row>
    <row r="603" spans="1:17" hidden="1">
      <c r="A603" s="966"/>
      <c r="B603" s="967"/>
      <c r="C603" s="967">
        <v>567</v>
      </c>
      <c r="D603" s="967"/>
      <c r="E603" s="968"/>
      <c r="F603" s="968"/>
      <c r="G603" s="968"/>
      <c r="H603" s="968"/>
      <c r="I603" s="968"/>
      <c r="J603" s="968"/>
      <c r="K603" s="967"/>
      <c r="L603" s="967"/>
      <c r="M603" s="967"/>
      <c r="N603" s="967"/>
      <c r="O603" s="1007"/>
      <c r="P603" s="1007"/>
      <c r="Q603" s="1008"/>
    </row>
    <row r="604" spans="1:17" hidden="1">
      <c r="A604" s="966"/>
      <c r="B604" s="967"/>
      <c r="C604" s="967">
        <v>568</v>
      </c>
      <c r="D604" s="967"/>
      <c r="E604" s="968"/>
      <c r="F604" s="968"/>
      <c r="G604" s="968"/>
      <c r="H604" s="968"/>
      <c r="I604" s="968"/>
      <c r="J604" s="968"/>
      <c r="K604" s="967"/>
      <c r="L604" s="967"/>
      <c r="M604" s="967"/>
      <c r="N604" s="967"/>
      <c r="O604" s="1007"/>
      <c r="P604" s="1007"/>
      <c r="Q604" s="1008"/>
    </row>
    <row r="605" spans="1:17" hidden="1">
      <c r="A605" s="966"/>
      <c r="B605" s="967"/>
      <c r="C605" s="967">
        <v>569</v>
      </c>
      <c r="D605" s="967"/>
      <c r="E605" s="968"/>
      <c r="F605" s="968"/>
      <c r="G605" s="968"/>
      <c r="H605" s="968"/>
      <c r="I605" s="968"/>
      <c r="J605" s="968"/>
      <c r="K605" s="967"/>
      <c r="L605" s="967"/>
      <c r="M605" s="967"/>
      <c r="N605" s="967"/>
      <c r="O605" s="1007"/>
      <c r="P605" s="1007"/>
      <c r="Q605" s="1008"/>
    </row>
    <row r="606" spans="1:17" hidden="1">
      <c r="A606" s="966"/>
      <c r="B606" s="967"/>
      <c r="C606" s="967">
        <v>570</v>
      </c>
      <c r="D606" s="967"/>
      <c r="E606" s="968"/>
      <c r="F606" s="968"/>
      <c r="G606" s="968"/>
      <c r="H606" s="968"/>
      <c r="I606" s="968"/>
      <c r="J606" s="968"/>
      <c r="K606" s="967"/>
      <c r="L606" s="967"/>
      <c r="M606" s="967"/>
      <c r="N606" s="967"/>
      <c r="O606" s="1007"/>
      <c r="P606" s="1007"/>
      <c r="Q606" s="1008"/>
    </row>
    <row r="607" spans="1:17" hidden="1">
      <c r="A607" s="966"/>
      <c r="B607" s="967"/>
      <c r="C607" s="967">
        <v>571</v>
      </c>
      <c r="D607" s="967"/>
      <c r="E607" s="968"/>
      <c r="F607" s="968"/>
      <c r="G607" s="968"/>
      <c r="H607" s="968"/>
      <c r="I607" s="968"/>
      <c r="J607" s="968"/>
      <c r="K607" s="967"/>
      <c r="L607" s="967"/>
      <c r="M607" s="967"/>
      <c r="N607" s="967"/>
      <c r="O607" s="1007"/>
      <c r="P607" s="1007"/>
      <c r="Q607" s="1008"/>
    </row>
    <row r="608" spans="1:17" hidden="1">
      <c r="A608" s="966"/>
      <c r="B608" s="967"/>
      <c r="C608" s="967">
        <v>572</v>
      </c>
      <c r="D608" s="967"/>
      <c r="E608" s="968"/>
      <c r="F608" s="968"/>
      <c r="G608" s="968"/>
      <c r="H608" s="968"/>
      <c r="I608" s="968"/>
      <c r="J608" s="968"/>
      <c r="K608" s="967"/>
      <c r="L608" s="967"/>
      <c r="M608" s="967"/>
      <c r="N608" s="967"/>
      <c r="O608" s="1007"/>
      <c r="P608" s="1007"/>
      <c r="Q608" s="1008"/>
    </row>
    <row r="609" spans="1:17" hidden="1">
      <c r="A609" s="966"/>
      <c r="B609" s="967"/>
      <c r="C609" s="967">
        <v>573</v>
      </c>
      <c r="D609" s="967"/>
      <c r="E609" s="968"/>
      <c r="F609" s="968"/>
      <c r="G609" s="968"/>
      <c r="H609" s="968"/>
      <c r="I609" s="968"/>
      <c r="J609" s="968"/>
      <c r="K609" s="967"/>
      <c r="L609" s="967"/>
      <c r="M609" s="967"/>
      <c r="N609" s="967"/>
      <c r="O609" s="1007"/>
      <c r="P609" s="1007"/>
      <c r="Q609" s="1008"/>
    </row>
    <row r="610" spans="1:17" hidden="1">
      <c r="A610" s="966"/>
      <c r="B610" s="967"/>
      <c r="C610" s="967">
        <v>574</v>
      </c>
      <c r="D610" s="967"/>
      <c r="E610" s="968"/>
      <c r="F610" s="968"/>
      <c r="G610" s="968"/>
      <c r="H610" s="968"/>
      <c r="I610" s="968"/>
      <c r="J610" s="968"/>
      <c r="K610" s="967"/>
      <c r="L610" s="967"/>
      <c r="M610" s="967"/>
      <c r="N610" s="967"/>
      <c r="O610" s="1007"/>
      <c r="P610" s="1007"/>
      <c r="Q610" s="1008"/>
    </row>
    <row r="611" spans="1:17" hidden="1">
      <c r="A611" s="966"/>
      <c r="B611" s="967"/>
      <c r="C611" s="967">
        <v>575</v>
      </c>
      <c r="D611" s="967"/>
      <c r="E611" s="968"/>
      <c r="F611" s="968"/>
      <c r="G611" s="968"/>
      <c r="H611" s="968"/>
      <c r="I611" s="968"/>
      <c r="J611" s="968"/>
      <c r="K611" s="967"/>
      <c r="L611" s="967"/>
      <c r="M611" s="967"/>
      <c r="N611" s="967"/>
      <c r="O611" s="1007"/>
      <c r="P611" s="1007"/>
      <c r="Q611" s="1008"/>
    </row>
    <row r="612" spans="1:17" hidden="1">
      <c r="A612" s="966"/>
      <c r="B612" s="967"/>
      <c r="C612" s="967">
        <v>576</v>
      </c>
      <c r="D612" s="967"/>
      <c r="E612" s="968"/>
      <c r="F612" s="968"/>
      <c r="G612" s="968"/>
      <c r="H612" s="968"/>
      <c r="I612" s="968"/>
      <c r="J612" s="968"/>
      <c r="K612" s="967"/>
      <c r="L612" s="967"/>
      <c r="M612" s="967"/>
      <c r="N612" s="967"/>
      <c r="O612" s="1007"/>
      <c r="P612" s="1007"/>
      <c r="Q612" s="1008"/>
    </row>
    <row r="613" spans="1:17" hidden="1">
      <c r="A613" s="966"/>
      <c r="B613" s="967"/>
      <c r="C613" s="967">
        <v>577</v>
      </c>
      <c r="D613" s="967"/>
      <c r="E613" s="968"/>
      <c r="F613" s="968"/>
      <c r="G613" s="968"/>
      <c r="H613" s="968"/>
      <c r="I613" s="968"/>
      <c r="J613" s="968"/>
      <c r="K613" s="967"/>
      <c r="L613" s="967"/>
      <c r="M613" s="967"/>
      <c r="N613" s="967"/>
      <c r="O613" s="1007"/>
      <c r="P613" s="1007"/>
      <c r="Q613" s="1008"/>
    </row>
    <row r="614" spans="1:17" hidden="1">
      <c r="A614" s="966"/>
      <c r="B614" s="967"/>
      <c r="C614" s="967">
        <v>578</v>
      </c>
      <c r="D614" s="967"/>
      <c r="E614" s="968"/>
      <c r="F614" s="968"/>
      <c r="G614" s="968"/>
      <c r="H614" s="968"/>
      <c r="I614" s="968"/>
      <c r="J614" s="968"/>
      <c r="K614" s="967"/>
      <c r="L614" s="967"/>
      <c r="M614" s="967"/>
      <c r="N614" s="967"/>
      <c r="O614" s="1007"/>
      <c r="P614" s="1007"/>
      <c r="Q614" s="1008"/>
    </row>
    <row r="615" spans="1:17" hidden="1">
      <c r="A615" s="966"/>
      <c r="B615" s="967"/>
      <c r="C615" s="967">
        <v>579</v>
      </c>
      <c r="D615" s="967"/>
      <c r="E615" s="968"/>
      <c r="F615" s="968"/>
      <c r="G615" s="968"/>
      <c r="H615" s="968"/>
      <c r="I615" s="968"/>
      <c r="J615" s="968"/>
      <c r="K615" s="967"/>
      <c r="L615" s="967"/>
      <c r="M615" s="967"/>
      <c r="N615" s="967"/>
      <c r="O615" s="1007"/>
      <c r="P615" s="1007"/>
      <c r="Q615" s="1008"/>
    </row>
    <row r="616" spans="1:17" hidden="1">
      <c r="A616" s="966"/>
      <c r="B616" s="967"/>
      <c r="C616" s="967">
        <v>580</v>
      </c>
      <c r="D616" s="967"/>
      <c r="E616" s="968"/>
      <c r="F616" s="968"/>
      <c r="G616" s="968"/>
      <c r="H616" s="968"/>
      <c r="I616" s="968"/>
      <c r="J616" s="968"/>
      <c r="K616" s="967"/>
      <c r="L616" s="967"/>
      <c r="M616" s="967"/>
      <c r="N616" s="967"/>
      <c r="O616" s="1007"/>
      <c r="P616" s="1007"/>
      <c r="Q616" s="1008"/>
    </row>
    <row r="617" spans="1:17" hidden="1">
      <c r="A617" s="966"/>
      <c r="B617" s="967"/>
      <c r="C617" s="967">
        <v>581</v>
      </c>
      <c r="D617" s="967"/>
      <c r="E617" s="968"/>
      <c r="F617" s="968"/>
      <c r="G617" s="968"/>
      <c r="H617" s="968"/>
      <c r="I617" s="968"/>
      <c r="J617" s="968"/>
      <c r="K617" s="967"/>
      <c r="L617" s="967"/>
      <c r="M617" s="967"/>
      <c r="N617" s="967"/>
      <c r="O617" s="1007"/>
      <c r="P617" s="1007"/>
      <c r="Q617" s="1008"/>
    </row>
    <row r="618" spans="1:17" hidden="1">
      <c r="A618" s="966"/>
      <c r="B618" s="967"/>
      <c r="C618" s="967">
        <v>582</v>
      </c>
      <c r="D618" s="967"/>
      <c r="E618" s="968"/>
      <c r="F618" s="968"/>
      <c r="G618" s="968"/>
      <c r="H618" s="968"/>
      <c r="I618" s="968"/>
      <c r="J618" s="968"/>
      <c r="K618" s="967"/>
      <c r="L618" s="967"/>
      <c r="M618" s="967"/>
      <c r="N618" s="967"/>
      <c r="O618" s="1007"/>
      <c r="P618" s="1007"/>
      <c r="Q618" s="1008"/>
    </row>
    <row r="619" spans="1:17" hidden="1">
      <c r="A619" s="966"/>
      <c r="B619" s="967"/>
      <c r="C619" s="967">
        <v>583</v>
      </c>
      <c r="D619" s="967"/>
      <c r="E619" s="968"/>
      <c r="F619" s="968"/>
      <c r="G619" s="968"/>
      <c r="H619" s="968"/>
      <c r="I619" s="968"/>
      <c r="J619" s="968"/>
      <c r="K619" s="967"/>
      <c r="L619" s="967"/>
      <c r="M619" s="967"/>
      <c r="N619" s="967"/>
      <c r="O619" s="1007"/>
      <c r="P619" s="1007"/>
      <c r="Q619" s="1008"/>
    </row>
    <row r="620" spans="1:17" hidden="1">
      <c r="A620" s="966"/>
      <c r="B620" s="967"/>
      <c r="C620" s="967">
        <v>584</v>
      </c>
      <c r="D620" s="967"/>
      <c r="E620" s="968"/>
      <c r="F620" s="968"/>
      <c r="G620" s="968"/>
      <c r="H620" s="968"/>
      <c r="I620" s="968"/>
      <c r="J620" s="968"/>
      <c r="K620" s="967"/>
      <c r="L620" s="967"/>
      <c r="M620" s="967"/>
      <c r="N620" s="967"/>
      <c r="O620" s="1007"/>
      <c r="P620" s="1007"/>
      <c r="Q620" s="1008"/>
    </row>
    <row r="621" spans="1:17" hidden="1">
      <c r="A621" s="966"/>
      <c r="B621" s="967"/>
      <c r="C621" s="967">
        <v>585</v>
      </c>
      <c r="D621" s="967"/>
      <c r="E621" s="968"/>
      <c r="F621" s="968"/>
      <c r="G621" s="968"/>
      <c r="H621" s="968"/>
      <c r="I621" s="968"/>
      <c r="J621" s="968"/>
      <c r="K621" s="967"/>
      <c r="L621" s="967"/>
      <c r="M621" s="967"/>
      <c r="N621" s="967"/>
      <c r="O621" s="1007"/>
      <c r="P621" s="1007"/>
      <c r="Q621" s="1008"/>
    </row>
    <row r="622" spans="1:17" hidden="1">
      <c r="A622" s="966"/>
      <c r="B622" s="967"/>
      <c r="C622" s="967">
        <v>586</v>
      </c>
      <c r="D622" s="967"/>
      <c r="E622" s="968"/>
      <c r="F622" s="968"/>
      <c r="G622" s="968"/>
      <c r="H622" s="968"/>
      <c r="I622" s="968"/>
      <c r="J622" s="968"/>
      <c r="K622" s="967"/>
      <c r="L622" s="967"/>
      <c r="M622" s="967"/>
      <c r="N622" s="967"/>
      <c r="O622" s="1007"/>
      <c r="P622" s="1007"/>
      <c r="Q622" s="1008"/>
    </row>
    <row r="623" spans="1:17" hidden="1">
      <c r="A623" s="966"/>
      <c r="B623" s="967"/>
      <c r="C623" s="967">
        <v>587</v>
      </c>
      <c r="D623" s="967"/>
      <c r="E623" s="968"/>
      <c r="F623" s="968"/>
      <c r="G623" s="968"/>
      <c r="H623" s="968"/>
      <c r="I623" s="968"/>
      <c r="J623" s="968"/>
      <c r="K623" s="967"/>
      <c r="L623" s="967"/>
      <c r="M623" s="967"/>
      <c r="N623" s="967"/>
      <c r="O623" s="1007"/>
      <c r="P623" s="1007"/>
      <c r="Q623" s="1008"/>
    </row>
    <row r="624" spans="1:17" hidden="1">
      <c r="A624" s="966"/>
      <c r="B624" s="967"/>
      <c r="C624" s="967">
        <v>588</v>
      </c>
      <c r="D624" s="967"/>
      <c r="E624" s="968"/>
      <c r="F624" s="968"/>
      <c r="G624" s="968"/>
      <c r="H624" s="968"/>
      <c r="I624" s="968"/>
      <c r="J624" s="968"/>
      <c r="K624" s="967"/>
      <c r="L624" s="967"/>
      <c r="M624" s="967"/>
      <c r="N624" s="967"/>
      <c r="O624" s="1007"/>
      <c r="P624" s="1007"/>
      <c r="Q624" s="1008"/>
    </row>
    <row r="625" spans="1:17" hidden="1">
      <c r="A625" s="966"/>
      <c r="B625" s="967"/>
      <c r="C625" s="967">
        <v>589</v>
      </c>
      <c r="D625" s="967"/>
      <c r="E625" s="968"/>
      <c r="F625" s="968"/>
      <c r="G625" s="968"/>
      <c r="H625" s="968"/>
      <c r="I625" s="968"/>
      <c r="J625" s="968"/>
      <c r="K625" s="967"/>
      <c r="L625" s="967"/>
      <c r="M625" s="967"/>
      <c r="N625" s="967"/>
      <c r="O625" s="1007"/>
      <c r="P625" s="1007"/>
      <c r="Q625" s="1008"/>
    </row>
    <row r="626" spans="1:17" hidden="1">
      <c r="A626" s="966"/>
      <c r="B626" s="967"/>
      <c r="C626" s="967">
        <v>590</v>
      </c>
      <c r="D626" s="967"/>
      <c r="E626" s="968"/>
      <c r="F626" s="968"/>
      <c r="G626" s="968"/>
      <c r="H626" s="968"/>
      <c r="I626" s="968"/>
      <c r="J626" s="968"/>
      <c r="K626" s="967"/>
      <c r="L626" s="967"/>
      <c r="M626" s="967"/>
      <c r="N626" s="967"/>
      <c r="O626" s="1007"/>
      <c r="P626" s="1007"/>
      <c r="Q626" s="1008"/>
    </row>
    <row r="627" spans="1:17" hidden="1">
      <c r="A627" s="966"/>
      <c r="B627" s="967"/>
      <c r="C627" s="967">
        <v>591</v>
      </c>
      <c r="D627" s="967"/>
      <c r="E627" s="968"/>
      <c r="F627" s="968"/>
      <c r="G627" s="968"/>
      <c r="H627" s="968"/>
      <c r="I627" s="968"/>
      <c r="J627" s="968"/>
      <c r="K627" s="967"/>
      <c r="L627" s="967"/>
      <c r="M627" s="967"/>
      <c r="N627" s="967"/>
      <c r="O627" s="1007"/>
      <c r="P627" s="1007"/>
      <c r="Q627" s="1008"/>
    </row>
    <row r="628" spans="1:17" hidden="1">
      <c r="A628" s="966"/>
      <c r="B628" s="967"/>
      <c r="C628" s="967">
        <v>592</v>
      </c>
      <c r="D628" s="967"/>
      <c r="E628" s="968"/>
      <c r="F628" s="968"/>
      <c r="G628" s="968"/>
      <c r="H628" s="968"/>
      <c r="I628" s="968"/>
      <c r="J628" s="968"/>
      <c r="K628" s="967"/>
      <c r="L628" s="967"/>
      <c r="M628" s="967"/>
      <c r="N628" s="967"/>
      <c r="O628" s="1007"/>
      <c r="P628" s="1007"/>
      <c r="Q628" s="1008"/>
    </row>
    <row r="629" spans="1:17" hidden="1">
      <c r="A629" s="966"/>
      <c r="B629" s="967"/>
      <c r="C629" s="967">
        <v>593</v>
      </c>
      <c r="D629" s="967"/>
      <c r="E629" s="968"/>
      <c r="F629" s="968"/>
      <c r="G629" s="968"/>
      <c r="H629" s="968"/>
      <c r="I629" s="968"/>
      <c r="J629" s="968"/>
      <c r="K629" s="967"/>
      <c r="L629" s="967"/>
      <c r="M629" s="967"/>
      <c r="N629" s="967"/>
      <c r="O629" s="1007"/>
      <c r="P629" s="1007"/>
      <c r="Q629" s="1008"/>
    </row>
    <row r="630" spans="1:17" hidden="1">
      <c r="A630" s="966"/>
      <c r="B630" s="967"/>
      <c r="C630" s="967">
        <v>594</v>
      </c>
      <c r="D630" s="967"/>
      <c r="E630" s="968"/>
      <c r="F630" s="968"/>
      <c r="G630" s="968"/>
      <c r="H630" s="968"/>
      <c r="I630" s="968"/>
      <c r="J630" s="968"/>
      <c r="K630" s="967"/>
      <c r="L630" s="967"/>
      <c r="M630" s="967"/>
      <c r="N630" s="967"/>
      <c r="O630" s="1007"/>
      <c r="P630" s="1007"/>
      <c r="Q630" s="1008"/>
    </row>
    <row r="631" spans="1:17" hidden="1">
      <c r="A631" s="966"/>
      <c r="B631" s="967"/>
      <c r="C631" s="967">
        <v>595</v>
      </c>
      <c r="D631" s="967"/>
      <c r="E631" s="968"/>
      <c r="F631" s="968"/>
      <c r="G631" s="968"/>
      <c r="H631" s="968"/>
      <c r="I631" s="968"/>
      <c r="J631" s="968"/>
      <c r="K631" s="967"/>
      <c r="L631" s="967"/>
      <c r="M631" s="967"/>
      <c r="N631" s="967"/>
      <c r="O631" s="1007"/>
      <c r="P631" s="1007"/>
      <c r="Q631" s="1008"/>
    </row>
    <row r="632" spans="1:17" hidden="1">
      <c r="A632" s="966"/>
      <c r="B632" s="967"/>
      <c r="C632" s="967">
        <v>596</v>
      </c>
      <c r="D632" s="967"/>
      <c r="E632" s="968"/>
      <c r="F632" s="968"/>
      <c r="G632" s="968"/>
      <c r="H632" s="968"/>
      <c r="I632" s="968"/>
      <c r="J632" s="968"/>
      <c r="K632" s="967"/>
      <c r="L632" s="967"/>
      <c r="M632" s="967"/>
      <c r="N632" s="967"/>
      <c r="O632" s="1007"/>
      <c r="P632" s="1007"/>
      <c r="Q632" s="1008"/>
    </row>
    <row r="633" spans="1:17" hidden="1">
      <c r="A633" s="966"/>
      <c r="B633" s="967"/>
      <c r="C633" s="967">
        <v>597</v>
      </c>
      <c r="D633" s="967"/>
      <c r="E633" s="968"/>
      <c r="F633" s="968"/>
      <c r="G633" s="968"/>
      <c r="H633" s="968"/>
      <c r="I633" s="968"/>
      <c r="J633" s="968"/>
      <c r="K633" s="967"/>
      <c r="L633" s="967"/>
      <c r="M633" s="967"/>
      <c r="N633" s="967"/>
      <c r="O633" s="1007"/>
      <c r="P633" s="1007"/>
      <c r="Q633" s="1008"/>
    </row>
    <row r="634" spans="1:17" hidden="1">
      <c r="A634" s="966"/>
      <c r="B634" s="967"/>
      <c r="C634" s="967">
        <v>598</v>
      </c>
      <c r="D634" s="967"/>
      <c r="E634" s="968"/>
      <c r="F634" s="968"/>
      <c r="G634" s="968"/>
      <c r="H634" s="968"/>
      <c r="I634" s="968"/>
      <c r="J634" s="968"/>
      <c r="K634" s="967"/>
      <c r="L634" s="967"/>
      <c r="M634" s="967"/>
      <c r="N634" s="967"/>
      <c r="O634" s="1007"/>
      <c r="P634" s="1007"/>
      <c r="Q634" s="1008"/>
    </row>
    <row r="635" spans="1:17" hidden="1">
      <c r="A635" s="966"/>
      <c r="B635" s="967"/>
      <c r="C635" s="967">
        <v>599</v>
      </c>
      <c r="D635" s="967"/>
      <c r="E635" s="968"/>
      <c r="F635" s="968"/>
      <c r="G635" s="968"/>
      <c r="H635" s="968"/>
      <c r="I635" s="968"/>
      <c r="J635" s="968"/>
      <c r="K635" s="967"/>
      <c r="L635" s="967"/>
      <c r="M635" s="967"/>
      <c r="N635" s="967"/>
      <c r="O635" s="1007"/>
      <c r="P635" s="1007"/>
      <c r="Q635" s="1008"/>
    </row>
    <row r="636" spans="1:17" hidden="1">
      <c r="A636" s="966"/>
      <c r="B636" s="967"/>
      <c r="C636" s="967">
        <v>600</v>
      </c>
      <c r="D636" s="967"/>
      <c r="E636" s="968"/>
      <c r="F636" s="968"/>
      <c r="G636" s="968"/>
      <c r="H636" s="968"/>
      <c r="I636" s="968"/>
      <c r="J636" s="968"/>
      <c r="K636" s="967"/>
      <c r="L636" s="967"/>
      <c r="M636" s="967"/>
      <c r="N636" s="967"/>
      <c r="O636" s="1007"/>
      <c r="P636" s="1007"/>
      <c r="Q636" s="1008"/>
    </row>
    <row r="637" spans="1:17" hidden="1">
      <c r="A637" s="966"/>
      <c r="B637" s="967"/>
      <c r="C637" s="967">
        <v>601</v>
      </c>
      <c r="D637" s="967"/>
      <c r="E637" s="968"/>
      <c r="F637" s="968"/>
      <c r="G637" s="968"/>
      <c r="H637" s="968"/>
      <c r="I637" s="968"/>
      <c r="J637" s="968"/>
      <c r="K637" s="967"/>
      <c r="L637" s="967"/>
      <c r="M637" s="967"/>
      <c r="N637" s="967"/>
      <c r="O637" s="1007"/>
      <c r="P637" s="1007"/>
      <c r="Q637" s="1008"/>
    </row>
    <row r="638" spans="1:17" hidden="1">
      <c r="A638" s="966"/>
      <c r="B638" s="967"/>
      <c r="C638" s="967">
        <v>602</v>
      </c>
      <c r="D638" s="967"/>
      <c r="E638" s="968"/>
      <c r="F638" s="968"/>
      <c r="G638" s="968"/>
      <c r="H638" s="968"/>
      <c r="I638" s="968"/>
      <c r="J638" s="968"/>
      <c r="K638" s="967"/>
      <c r="L638" s="967"/>
      <c r="M638" s="967"/>
      <c r="N638" s="967"/>
      <c r="O638" s="1007"/>
      <c r="P638" s="1007"/>
      <c r="Q638" s="1008"/>
    </row>
    <row r="639" spans="1:17" hidden="1">
      <c r="A639" s="966"/>
      <c r="B639" s="967"/>
      <c r="C639" s="967">
        <v>603</v>
      </c>
      <c r="D639" s="967"/>
      <c r="E639" s="968"/>
      <c r="F639" s="968"/>
      <c r="G639" s="968"/>
      <c r="H639" s="968"/>
      <c r="I639" s="968"/>
      <c r="J639" s="968"/>
      <c r="K639" s="967"/>
      <c r="L639" s="967"/>
      <c r="M639" s="967"/>
      <c r="N639" s="967"/>
      <c r="O639" s="1007"/>
      <c r="P639" s="1007"/>
      <c r="Q639" s="1008"/>
    </row>
    <row r="640" spans="1:17" hidden="1">
      <c r="A640" s="966"/>
      <c r="B640" s="967"/>
      <c r="C640" s="967">
        <v>604</v>
      </c>
      <c r="D640" s="967"/>
      <c r="E640" s="968"/>
      <c r="F640" s="968"/>
      <c r="G640" s="968"/>
      <c r="H640" s="968"/>
      <c r="I640" s="968"/>
      <c r="J640" s="968"/>
      <c r="K640" s="967"/>
      <c r="L640" s="967"/>
      <c r="M640" s="967"/>
      <c r="N640" s="967"/>
      <c r="O640" s="1007"/>
      <c r="P640" s="1007"/>
      <c r="Q640" s="1008"/>
    </row>
    <row r="641" spans="1:17" hidden="1">
      <c r="A641" s="966"/>
      <c r="B641" s="967"/>
      <c r="C641" s="967">
        <v>605</v>
      </c>
      <c r="D641" s="967"/>
      <c r="E641" s="968"/>
      <c r="F641" s="968"/>
      <c r="G641" s="968"/>
      <c r="H641" s="968"/>
      <c r="I641" s="968"/>
      <c r="J641" s="968"/>
      <c r="K641" s="967"/>
      <c r="L641" s="967"/>
      <c r="M641" s="967"/>
      <c r="N641" s="967"/>
      <c r="O641" s="1007"/>
      <c r="P641" s="1007"/>
      <c r="Q641" s="1008"/>
    </row>
    <row r="642" spans="1:17" hidden="1">
      <c r="A642" s="966"/>
      <c r="B642" s="967"/>
      <c r="C642" s="967">
        <v>606</v>
      </c>
      <c r="D642" s="967"/>
      <c r="E642" s="968"/>
      <c r="F642" s="968"/>
      <c r="G642" s="968"/>
      <c r="H642" s="968"/>
      <c r="I642" s="968"/>
      <c r="J642" s="968"/>
      <c r="K642" s="967"/>
      <c r="L642" s="967"/>
      <c r="M642" s="967"/>
      <c r="N642" s="967"/>
      <c r="O642" s="1007"/>
      <c r="P642" s="1007"/>
      <c r="Q642" s="1008"/>
    </row>
    <row r="643" spans="1:17" hidden="1">
      <c r="A643" s="966"/>
      <c r="B643" s="967"/>
      <c r="C643" s="967">
        <v>607</v>
      </c>
      <c r="D643" s="967"/>
      <c r="E643" s="968"/>
      <c r="F643" s="968"/>
      <c r="G643" s="968"/>
      <c r="H643" s="968"/>
      <c r="I643" s="968"/>
      <c r="J643" s="968"/>
      <c r="K643" s="967"/>
      <c r="L643" s="967"/>
      <c r="M643" s="967"/>
      <c r="N643" s="967"/>
      <c r="O643" s="1007"/>
      <c r="P643" s="1007"/>
      <c r="Q643" s="1008"/>
    </row>
    <row r="644" spans="1:17" hidden="1">
      <c r="A644" s="966"/>
      <c r="B644" s="967"/>
      <c r="C644" s="967">
        <v>608</v>
      </c>
      <c r="D644" s="967"/>
      <c r="E644" s="968"/>
      <c r="F644" s="968"/>
      <c r="G644" s="968"/>
      <c r="H644" s="968"/>
      <c r="I644" s="968"/>
      <c r="J644" s="968"/>
      <c r="K644" s="967"/>
      <c r="L644" s="967"/>
      <c r="M644" s="967"/>
      <c r="N644" s="967"/>
      <c r="O644" s="1007"/>
      <c r="P644" s="1007"/>
      <c r="Q644" s="1008"/>
    </row>
    <row r="645" spans="1:17" hidden="1">
      <c r="A645" s="966"/>
      <c r="B645" s="967"/>
      <c r="C645" s="967">
        <v>609</v>
      </c>
      <c r="D645" s="967"/>
      <c r="E645" s="968"/>
      <c r="F645" s="968"/>
      <c r="G645" s="968"/>
      <c r="H645" s="968"/>
      <c r="I645" s="968"/>
      <c r="J645" s="968"/>
      <c r="K645" s="967"/>
      <c r="L645" s="967"/>
      <c r="M645" s="967"/>
      <c r="N645" s="967"/>
      <c r="O645" s="1007"/>
      <c r="P645" s="1007"/>
      <c r="Q645" s="1008"/>
    </row>
    <row r="646" spans="1:17" hidden="1">
      <c r="A646" s="966"/>
      <c r="B646" s="967"/>
      <c r="C646" s="967">
        <v>610</v>
      </c>
      <c r="D646" s="967"/>
      <c r="E646" s="968"/>
      <c r="F646" s="968"/>
      <c r="G646" s="968"/>
      <c r="H646" s="968"/>
      <c r="I646" s="968"/>
      <c r="J646" s="968"/>
      <c r="K646" s="967"/>
      <c r="L646" s="967"/>
      <c r="M646" s="967"/>
      <c r="N646" s="967"/>
      <c r="O646" s="1007"/>
      <c r="P646" s="1007"/>
      <c r="Q646" s="1008"/>
    </row>
    <row r="647" spans="1:17" hidden="1">
      <c r="A647" s="966"/>
      <c r="B647" s="967"/>
      <c r="C647" s="967">
        <v>611</v>
      </c>
      <c r="D647" s="967"/>
      <c r="E647" s="968"/>
      <c r="F647" s="968"/>
      <c r="G647" s="968"/>
      <c r="H647" s="968"/>
      <c r="I647" s="968"/>
      <c r="J647" s="968"/>
      <c r="K647" s="967"/>
      <c r="L647" s="967"/>
      <c r="M647" s="967"/>
      <c r="N647" s="967"/>
      <c r="O647" s="1007"/>
      <c r="P647" s="1007"/>
      <c r="Q647" s="1008"/>
    </row>
    <row r="648" spans="1:17" hidden="1">
      <c r="A648" s="966"/>
      <c r="B648" s="967"/>
      <c r="C648" s="967">
        <v>612</v>
      </c>
      <c r="D648" s="967"/>
      <c r="E648" s="968"/>
      <c r="F648" s="968"/>
      <c r="G648" s="968"/>
      <c r="H648" s="968"/>
      <c r="I648" s="968"/>
      <c r="J648" s="968"/>
      <c r="K648" s="967"/>
      <c r="L648" s="967"/>
      <c r="M648" s="967"/>
      <c r="N648" s="967"/>
      <c r="O648" s="1007"/>
      <c r="P648" s="1007"/>
      <c r="Q648" s="1008"/>
    </row>
    <row r="649" spans="1:17" hidden="1">
      <c r="A649" s="966"/>
      <c r="B649" s="967"/>
      <c r="C649" s="967">
        <v>613</v>
      </c>
      <c r="D649" s="967"/>
      <c r="E649" s="968"/>
      <c r="F649" s="968"/>
      <c r="G649" s="968"/>
      <c r="H649" s="968"/>
      <c r="I649" s="968"/>
      <c r="J649" s="968"/>
      <c r="K649" s="967"/>
      <c r="L649" s="967"/>
      <c r="M649" s="967"/>
      <c r="N649" s="967"/>
      <c r="O649" s="1007"/>
      <c r="P649" s="1007"/>
      <c r="Q649" s="1008"/>
    </row>
    <row r="650" spans="1:17" hidden="1">
      <c r="A650" s="966"/>
      <c r="B650" s="967"/>
      <c r="C650" s="967">
        <v>614</v>
      </c>
      <c r="D650" s="967"/>
      <c r="E650" s="968"/>
      <c r="F650" s="968"/>
      <c r="G650" s="968"/>
      <c r="H650" s="968"/>
      <c r="I650" s="968"/>
      <c r="J650" s="968"/>
      <c r="K650" s="967"/>
      <c r="L650" s="967"/>
      <c r="M650" s="967"/>
      <c r="N650" s="967"/>
      <c r="O650" s="1007"/>
      <c r="P650" s="1007"/>
      <c r="Q650" s="1008"/>
    </row>
    <row r="651" spans="1:17" hidden="1">
      <c r="A651" s="966"/>
      <c r="B651" s="967"/>
      <c r="C651" s="967">
        <v>615</v>
      </c>
      <c r="D651" s="967"/>
      <c r="E651" s="968"/>
      <c r="F651" s="968"/>
      <c r="G651" s="968"/>
      <c r="H651" s="968"/>
      <c r="I651" s="968"/>
      <c r="J651" s="968"/>
      <c r="K651" s="967"/>
      <c r="L651" s="967"/>
      <c r="M651" s="967"/>
      <c r="N651" s="967"/>
      <c r="O651" s="1007"/>
      <c r="P651" s="1007"/>
      <c r="Q651" s="1008"/>
    </row>
    <row r="652" spans="1:17" hidden="1">
      <c r="A652" s="966"/>
      <c r="B652" s="967"/>
      <c r="C652" s="967">
        <v>616</v>
      </c>
      <c r="D652" s="967"/>
      <c r="E652" s="968"/>
      <c r="F652" s="968"/>
      <c r="G652" s="968"/>
      <c r="H652" s="968"/>
      <c r="I652" s="968"/>
      <c r="J652" s="968"/>
      <c r="K652" s="967"/>
      <c r="L652" s="967"/>
      <c r="M652" s="967"/>
      <c r="N652" s="967"/>
      <c r="O652" s="1007"/>
      <c r="P652" s="1007"/>
      <c r="Q652" s="1008"/>
    </row>
    <row r="653" spans="1:17" hidden="1">
      <c r="A653" s="966"/>
      <c r="B653" s="967"/>
      <c r="C653" s="967">
        <v>617</v>
      </c>
      <c r="D653" s="967"/>
      <c r="E653" s="968"/>
      <c r="F653" s="968"/>
      <c r="G653" s="968"/>
      <c r="H653" s="968"/>
      <c r="I653" s="968"/>
      <c r="J653" s="968"/>
      <c r="K653" s="967"/>
      <c r="L653" s="967"/>
      <c r="M653" s="967"/>
      <c r="N653" s="967"/>
      <c r="O653" s="1007"/>
      <c r="P653" s="1007"/>
      <c r="Q653" s="1008"/>
    </row>
    <row r="654" spans="1:17" hidden="1">
      <c r="A654" s="966"/>
      <c r="B654" s="967"/>
      <c r="C654" s="967">
        <v>618</v>
      </c>
      <c r="D654" s="967"/>
      <c r="E654" s="968"/>
      <c r="F654" s="968"/>
      <c r="G654" s="968"/>
      <c r="H654" s="968"/>
      <c r="I654" s="968"/>
      <c r="J654" s="968"/>
      <c r="K654" s="967"/>
      <c r="L654" s="967"/>
      <c r="M654" s="967"/>
      <c r="N654" s="967"/>
      <c r="O654" s="1007"/>
      <c r="P654" s="1007"/>
      <c r="Q654" s="1008"/>
    </row>
    <row r="655" spans="1:17" hidden="1">
      <c r="A655" s="966"/>
      <c r="B655" s="967"/>
      <c r="C655" s="967">
        <v>619</v>
      </c>
      <c r="D655" s="967"/>
      <c r="E655" s="968"/>
      <c r="F655" s="968"/>
      <c r="G655" s="968"/>
      <c r="H655" s="968"/>
      <c r="I655" s="968"/>
      <c r="J655" s="968"/>
      <c r="K655" s="967"/>
      <c r="L655" s="967"/>
      <c r="M655" s="967"/>
      <c r="N655" s="967"/>
      <c r="O655" s="1007"/>
      <c r="P655" s="1007"/>
      <c r="Q655" s="1008"/>
    </row>
    <row r="656" spans="1:17" hidden="1">
      <c r="A656" s="966"/>
      <c r="B656" s="967"/>
      <c r="C656" s="967">
        <v>620</v>
      </c>
      <c r="D656" s="967"/>
      <c r="E656" s="968"/>
      <c r="F656" s="968"/>
      <c r="G656" s="968"/>
      <c r="H656" s="968"/>
      <c r="I656" s="968"/>
      <c r="J656" s="968"/>
      <c r="K656" s="967"/>
      <c r="L656" s="967"/>
      <c r="M656" s="967"/>
      <c r="N656" s="967"/>
      <c r="O656" s="1007"/>
      <c r="P656" s="1007"/>
      <c r="Q656" s="1008"/>
    </row>
    <row r="657" spans="1:17" hidden="1">
      <c r="A657" s="966"/>
      <c r="B657" s="967"/>
      <c r="C657" s="967">
        <v>621</v>
      </c>
      <c r="D657" s="967"/>
      <c r="E657" s="968"/>
      <c r="F657" s="968"/>
      <c r="G657" s="968"/>
      <c r="H657" s="968"/>
      <c r="I657" s="968"/>
      <c r="J657" s="968"/>
      <c r="K657" s="967"/>
      <c r="L657" s="967"/>
      <c r="M657" s="967"/>
      <c r="N657" s="967"/>
      <c r="O657" s="1007"/>
      <c r="P657" s="1007"/>
      <c r="Q657" s="1008"/>
    </row>
    <row r="658" spans="1:17" hidden="1">
      <c r="A658" s="966"/>
      <c r="B658" s="967"/>
      <c r="C658" s="967">
        <v>622</v>
      </c>
      <c r="D658" s="967"/>
      <c r="E658" s="968"/>
      <c r="F658" s="968"/>
      <c r="G658" s="968"/>
      <c r="H658" s="968"/>
      <c r="I658" s="968"/>
      <c r="J658" s="968"/>
      <c r="K658" s="967"/>
      <c r="L658" s="967"/>
      <c r="M658" s="967"/>
      <c r="N658" s="967"/>
      <c r="O658" s="1007"/>
      <c r="P658" s="1007"/>
      <c r="Q658" s="1008"/>
    </row>
    <row r="659" spans="1:17" hidden="1">
      <c r="A659" s="966"/>
      <c r="B659" s="967"/>
      <c r="C659" s="967">
        <v>623</v>
      </c>
      <c r="D659" s="967"/>
      <c r="E659" s="968"/>
      <c r="F659" s="968"/>
      <c r="G659" s="968"/>
      <c r="H659" s="968"/>
      <c r="I659" s="968"/>
      <c r="J659" s="968"/>
      <c r="K659" s="967"/>
      <c r="L659" s="967"/>
      <c r="M659" s="967"/>
      <c r="N659" s="967"/>
      <c r="O659" s="1007"/>
      <c r="P659" s="1007"/>
      <c r="Q659" s="1008"/>
    </row>
    <row r="660" spans="1:17" hidden="1">
      <c r="A660" s="966"/>
      <c r="B660" s="967"/>
      <c r="C660" s="967">
        <v>624</v>
      </c>
      <c r="D660" s="967"/>
      <c r="E660" s="968"/>
      <c r="F660" s="968"/>
      <c r="G660" s="968"/>
      <c r="H660" s="968"/>
      <c r="I660" s="968"/>
      <c r="J660" s="968"/>
      <c r="K660" s="967"/>
      <c r="L660" s="967"/>
      <c r="M660" s="967"/>
      <c r="N660" s="967"/>
      <c r="O660" s="1007"/>
      <c r="P660" s="1007"/>
      <c r="Q660" s="1008"/>
    </row>
    <row r="661" spans="1:17" hidden="1">
      <c r="A661" s="966"/>
      <c r="B661" s="967"/>
      <c r="C661" s="967">
        <v>625</v>
      </c>
      <c r="D661" s="967"/>
      <c r="E661" s="968"/>
      <c r="F661" s="968"/>
      <c r="G661" s="968"/>
      <c r="H661" s="968"/>
      <c r="I661" s="968"/>
      <c r="J661" s="968"/>
      <c r="K661" s="967"/>
      <c r="L661" s="967"/>
      <c r="M661" s="967"/>
      <c r="N661" s="967"/>
      <c r="O661" s="1007"/>
      <c r="P661" s="1007"/>
      <c r="Q661" s="1008"/>
    </row>
    <row r="662" spans="1:17" hidden="1">
      <c r="A662" s="966"/>
      <c r="B662" s="967"/>
      <c r="C662" s="967">
        <v>626</v>
      </c>
      <c r="D662" s="967"/>
      <c r="E662" s="968"/>
      <c r="F662" s="968"/>
      <c r="G662" s="968"/>
      <c r="H662" s="968"/>
      <c r="I662" s="968"/>
      <c r="J662" s="968"/>
      <c r="K662" s="967"/>
      <c r="L662" s="967"/>
      <c r="M662" s="967"/>
      <c r="N662" s="967"/>
      <c r="O662" s="1007"/>
      <c r="P662" s="1007"/>
      <c r="Q662" s="1008"/>
    </row>
    <row r="663" spans="1:17" hidden="1">
      <c r="A663" s="966"/>
      <c r="B663" s="967"/>
      <c r="C663" s="967">
        <v>627</v>
      </c>
      <c r="D663" s="967"/>
      <c r="E663" s="968"/>
      <c r="F663" s="968"/>
      <c r="G663" s="968"/>
      <c r="H663" s="968"/>
      <c r="I663" s="968"/>
      <c r="J663" s="968"/>
      <c r="K663" s="967"/>
      <c r="L663" s="967"/>
      <c r="M663" s="967"/>
      <c r="N663" s="967"/>
      <c r="O663" s="1007"/>
      <c r="P663" s="1007"/>
      <c r="Q663" s="1008"/>
    </row>
    <row r="664" spans="1:17" hidden="1">
      <c r="A664" s="966"/>
      <c r="B664" s="967"/>
      <c r="C664" s="967">
        <v>628</v>
      </c>
      <c r="D664" s="967"/>
      <c r="E664" s="968"/>
      <c r="F664" s="968"/>
      <c r="G664" s="968"/>
      <c r="H664" s="968"/>
      <c r="I664" s="968"/>
      <c r="J664" s="968"/>
      <c r="K664" s="967"/>
      <c r="L664" s="967"/>
      <c r="M664" s="967"/>
      <c r="N664" s="967"/>
      <c r="O664" s="1007"/>
      <c r="P664" s="1007"/>
      <c r="Q664" s="1008"/>
    </row>
    <row r="665" spans="1:17" hidden="1">
      <c r="A665" s="966"/>
      <c r="B665" s="967"/>
      <c r="C665" s="967">
        <v>629</v>
      </c>
      <c r="D665" s="967"/>
      <c r="E665" s="968"/>
      <c r="F665" s="968"/>
      <c r="G665" s="968"/>
      <c r="H665" s="968"/>
      <c r="I665" s="968"/>
      <c r="J665" s="968"/>
      <c r="K665" s="967"/>
      <c r="L665" s="967"/>
      <c r="M665" s="967"/>
      <c r="N665" s="967"/>
      <c r="O665" s="1007"/>
      <c r="P665" s="1007"/>
      <c r="Q665" s="1008"/>
    </row>
    <row r="666" spans="1:17" hidden="1">
      <c r="A666" s="966"/>
      <c r="B666" s="967"/>
      <c r="C666" s="967">
        <v>630</v>
      </c>
      <c r="D666" s="967"/>
      <c r="E666" s="968"/>
      <c r="F666" s="968"/>
      <c r="G666" s="968"/>
      <c r="H666" s="968"/>
      <c r="I666" s="968"/>
      <c r="J666" s="968"/>
      <c r="K666" s="967"/>
      <c r="L666" s="967"/>
      <c r="M666" s="967"/>
      <c r="N666" s="967"/>
      <c r="O666" s="1007"/>
      <c r="P666" s="1007"/>
      <c r="Q666" s="1008"/>
    </row>
    <row r="667" spans="1:17" hidden="1">
      <c r="A667" s="966"/>
      <c r="B667" s="967"/>
      <c r="C667" s="967">
        <v>631</v>
      </c>
      <c r="D667" s="967"/>
      <c r="E667" s="968"/>
      <c r="F667" s="968"/>
      <c r="G667" s="968"/>
      <c r="H667" s="968"/>
      <c r="I667" s="968"/>
      <c r="J667" s="968"/>
      <c r="K667" s="967"/>
      <c r="L667" s="967"/>
      <c r="M667" s="967"/>
      <c r="N667" s="967"/>
      <c r="O667" s="1007"/>
      <c r="P667" s="1007"/>
      <c r="Q667" s="1008"/>
    </row>
    <row r="668" spans="1:17" hidden="1">
      <c r="A668" s="966"/>
      <c r="B668" s="967"/>
      <c r="C668" s="967">
        <v>632</v>
      </c>
      <c r="D668" s="967"/>
      <c r="E668" s="968"/>
      <c r="F668" s="968"/>
      <c r="G668" s="968"/>
      <c r="H668" s="968"/>
      <c r="I668" s="968"/>
      <c r="J668" s="968"/>
      <c r="K668" s="967"/>
      <c r="L668" s="967"/>
      <c r="M668" s="967"/>
      <c r="N668" s="967"/>
      <c r="O668" s="1007"/>
      <c r="P668" s="1007"/>
      <c r="Q668" s="1008"/>
    </row>
    <row r="669" spans="1:17" hidden="1">
      <c r="A669" s="966"/>
      <c r="B669" s="967"/>
      <c r="C669" s="967">
        <v>633</v>
      </c>
      <c r="D669" s="967"/>
      <c r="E669" s="968"/>
      <c r="F669" s="968"/>
      <c r="G669" s="968"/>
      <c r="H669" s="968"/>
      <c r="I669" s="968"/>
      <c r="J669" s="968"/>
      <c r="K669" s="967"/>
      <c r="L669" s="967"/>
      <c r="M669" s="967"/>
      <c r="N669" s="967"/>
      <c r="O669" s="1007"/>
      <c r="P669" s="1007"/>
      <c r="Q669" s="1008"/>
    </row>
    <row r="670" spans="1:17" hidden="1">
      <c r="A670" s="966"/>
      <c r="B670" s="967"/>
      <c r="C670" s="967">
        <v>634</v>
      </c>
      <c r="D670" s="967"/>
      <c r="E670" s="968"/>
      <c r="F670" s="968"/>
      <c r="G670" s="968"/>
      <c r="H670" s="968"/>
      <c r="I670" s="968"/>
      <c r="J670" s="968"/>
      <c r="K670" s="967"/>
      <c r="L670" s="967"/>
      <c r="M670" s="967"/>
      <c r="N670" s="967"/>
      <c r="O670" s="1007"/>
      <c r="P670" s="1007"/>
      <c r="Q670" s="1008"/>
    </row>
    <row r="671" spans="1:17" hidden="1">
      <c r="A671" s="966"/>
      <c r="B671" s="967"/>
      <c r="C671" s="967">
        <v>635</v>
      </c>
      <c r="D671" s="967"/>
      <c r="E671" s="968"/>
      <c r="F671" s="968"/>
      <c r="G671" s="968"/>
      <c r="H671" s="968"/>
      <c r="I671" s="968"/>
      <c r="J671" s="968"/>
      <c r="K671" s="967"/>
      <c r="L671" s="967"/>
      <c r="M671" s="967"/>
      <c r="N671" s="967"/>
      <c r="O671" s="1007"/>
      <c r="P671" s="1007"/>
      <c r="Q671" s="1008"/>
    </row>
    <row r="672" spans="1:17" hidden="1">
      <c r="A672" s="966"/>
      <c r="B672" s="967"/>
      <c r="C672" s="967">
        <v>636</v>
      </c>
      <c r="D672" s="967"/>
      <c r="E672" s="968"/>
      <c r="F672" s="968"/>
      <c r="G672" s="968"/>
      <c r="H672" s="968"/>
      <c r="I672" s="968"/>
      <c r="J672" s="968"/>
      <c r="K672" s="967"/>
      <c r="L672" s="967"/>
      <c r="M672" s="967"/>
      <c r="N672" s="967"/>
      <c r="O672" s="1007"/>
      <c r="P672" s="1007"/>
      <c r="Q672" s="1008"/>
    </row>
    <row r="673" spans="1:17" hidden="1">
      <c r="A673" s="966"/>
      <c r="B673" s="967"/>
      <c r="C673" s="967">
        <v>637</v>
      </c>
      <c r="D673" s="967"/>
      <c r="E673" s="968"/>
      <c r="F673" s="968"/>
      <c r="G673" s="968"/>
      <c r="H673" s="968"/>
      <c r="I673" s="968"/>
      <c r="J673" s="968"/>
      <c r="K673" s="967"/>
      <c r="L673" s="967"/>
      <c r="M673" s="967"/>
      <c r="N673" s="967"/>
      <c r="O673" s="1007"/>
      <c r="P673" s="1007"/>
      <c r="Q673" s="1008"/>
    </row>
    <row r="674" spans="1:17" hidden="1">
      <c r="A674" s="966"/>
      <c r="B674" s="967"/>
      <c r="C674" s="967">
        <v>638</v>
      </c>
      <c r="D674" s="967"/>
      <c r="E674" s="968"/>
      <c r="F674" s="968"/>
      <c r="G674" s="968"/>
      <c r="H674" s="968"/>
      <c r="I674" s="968"/>
      <c r="J674" s="968"/>
      <c r="K674" s="967"/>
      <c r="L674" s="967"/>
      <c r="M674" s="967"/>
      <c r="N674" s="967"/>
      <c r="O674" s="1007"/>
      <c r="P674" s="1007"/>
      <c r="Q674" s="1008"/>
    </row>
    <row r="675" spans="1:17" hidden="1">
      <c r="A675" s="966"/>
      <c r="B675" s="967"/>
      <c r="C675" s="967">
        <v>639</v>
      </c>
      <c r="D675" s="967"/>
      <c r="E675" s="968"/>
      <c r="F675" s="968"/>
      <c r="G675" s="968"/>
      <c r="H675" s="968"/>
      <c r="I675" s="968"/>
      <c r="J675" s="968"/>
      <c r="K675" s="967"/>
      <c r="L675" s="967"/>
      <c r="M675" s="967"/>
      <c r="N675" s="967"/>
      <c r="O675" s="1007"/>
      <c r="P675" s="1007"/>
      <c r="Q675" s="1008"/>
    </row>
    <row r="676" spans="1:17" hidden="1">
      <c r="A676" s="966"/>
      <c r="B676" s="967"/>
      <c r="C676" s="967">
        <v>640</v>
      </c>
      <c r="D676" s="967"/>
      <c r="E676" s="968"/>
      <c r="F676" s="968"/>
      <c r="G676" s="968"/>
      <c r="H676" s="968"/>
      <c r="I676" s="968"/>
      <c r="J676" s="968"/>
      <c r="K676" s="967"/>
      <c r="L676" s="967"/>
      <c r="M676" s="967"/>
      <c r="N676" s="967"/>
      <c r="O676" s="1007"/>
      <c r="P676" s="1007"/>
      <c r="Q676" s="1008"/>
    </row>
    <row r="677" spans="1:17" hidden="1">
      <c r="A677" s="966"/>
      <c r="B677" s="967"/>
      <c r="C677" s="967">
        <v>641</v>
      </c>
      <c r="D677" s="967"/>
      <c r="E677" s="968"/>
      <c r="F677" s="968"/>
      <c r="G677" s="968"/>
      <c r="H677" s="968"/>
      <c r="I677" s="968"/>
      <c r="J677" s="968"/>
      <c r="K677" s="967"/>
      <c r="L677" s="967"/>
      <c r="M677" s="967"/>
      <c r="N677" s="967"/>
      <c r="O677" s="1007"/>
      <c r="P677" s="1007"/>
      <c r="Q677" s="1008"/>
    </row>
    <row r="678" spans="1:17" hidden="1">
      <c r="A678" s="966"/>
      <c r="B678" s="967"/>
      <c r="C678" s="967">
        <v>642</v>
      </c>
      <c r="D678" s="967"/>
      <c r="E678" s="968"/>
      <c r="F678" s="968"/>
      <c r="G678" s="968"/>
      <c r="H678" s="968"/>
      <c r="I678" s="968"/>
      <c r="J678" s="968"/>
      <c r="K678" s="967"/>
      <c r="L678" s="967"/>
      <c r="M678" s="967"/>
      <c r="N678" s="967"/>
      <c r="O678" s="1007"/>
      <c r="P678" s="1007"/>
      <c r="Q678" s="1008"/>
    </row>
    <row r="679" spans="1:17" hidden="1">
      <c r="A679" s="966"/>
      <c r="B679" s="967"/>
      <c r="C679" s="967">
        <v>643</v>
      </c>
      <c r="D679" s="967"/>
      <c r="E679" s="968"/>
      <c r="F679" s="968"/>
      <c r="G679" s="968"/>
      <c r="H679" s="968"/>
      <c r="I679" s="968"/>
      <c r="J679" s="968"/>
      <c r="K679" s="967"/>
      <c r="L679" s="967"/>
      <c r="M679" s="967"/>
      <c r="N679" s="967"/>
      <c r="O679" s="1007"/>
      <c r="P679" s="1007"/>
      <c r="Q679" s="1008"/>
    </row>
    <row r="680" spans="1:17" hidden="1">
      <c r="A680" s="966"/>
      <c r="B680" s="967"/>
      <c r="C680" s="967">
        <v>644</v>
      </c>
      <c r="D680" s="967"/>
      <c r="E680" s="968"/>
      <c r="F680" s="968"/>
      <c r="G680" s="968"/>
      <c r="H680" s="968"/>
      <c r="I680" s="968"/>
      <c r="J680" s="968"/>
      <c r="K680" s="967"/>
      <c r="L680" s="967"/>
      <c r="M680" s="967"/>
      <c r="N680" s="967"/>
      <c r="O680" s="1007"/>
      <c r="P680" s="1007"/>
      <c r="Q680" s="1008"/>
    </row>
    <row r="681" spans="1:17" hidden="1">
      <c r="A681" s="966"/>
      <c r="B681" s="967"/>
      <c r="C681" s="967">
        <v>645</v>
      </c>
      <c r="D681" s="967"/>
      <c r="E681" s="968"/>
      <c r="F681" s="968"/>
      <c r="G681" s="968"/>
      <c r="H681" s="968"/>
      <c r="I681" s="968"/>
      <c r="J681" s="968"/>
      <c r="K681" s="967"/>
      <c r="L681" s="967"/>
      <c r="M681" s="967"/>
      <c r="N681" s="967"/>
      <c r="O681" s="1007"/>
      <c r="P681" s="1007"/>
      <c r="Q681" s="1008"/>
    </row>
    <row r="682" spans="1:17" hidden="1">
      <c r="A682" s="966"/>
      <c r="B682" s="967"/>
      <c r="C682" s="967">
        <v>646</v>
      </c>
      <c r="D682" s="967"/>
      <c r="E682" s="968"/>
      <c r="F682" s="968"/>
      <c r="G682" s="968"/>
      <c r="H682" s="968"/>
      <c r="I682" s="968"/>
      <c r="J682" s="968"/>
      <c r="K682" s="967"/>
      <c r="L682" s="967"/>
      <c r="M682" s="967"/>
      <c r="N682" s="967"/>
      <c r="O682" s="1007"/>
      <c r="P682" s="1007"/>
      <c r="Q682" s="1008"/>
    </row>
    <row r="683" spans="1:17" hidden="1">
      <c r="A683" s="966"/>
      <c r="B683" s="967"/>
      <c r="C683" s="967">
        <v>647</v>
      </c>
      <c r="D683" s="967"/>
      <c r="E683" s="968"/>
      <c r="F683" s="968"/>
      <c r="G683" s="968"/>
      <c r="H683" s="968"/>
      <c r="I683" s="968"/>
      <c r="J683" s="968"/>
      <c r="K683" s="967"/>
      <c r="L683" s="967"/>
      <c r="M683" s="967"/>
      <c r="N683" s="967"/>
      <c r="O683" s="1007"/>
      <c r="P683" s="1007"/>
      <c r="Q683" s="1008"/>
    </row>
    <row r="684" spans="1:17" hidden="1">
      <c r="A684" s="966"/>
      <c r="B684" s="967"/>
      <c r="C684" s="967">
        <v>648</v>
      </c>
      <c r="D684" s="967"/>
      <c r="E684" s="968"/>
      <c r="F684" s="968"/>
      <c r="G684" s="968"/>
      <c r="H684" s="968"/>
      <c r="I684" s="968"/>
      <c r="J684" s="968"/>
      <c r="K684" s="967"/>
      <c r="L684" s="967"/>
      <c r="M684" s="967"/>
      <c r="N684" s="967"/>
      <c r="O684" s="1007"/>
      <c r="P684" s="1007"/>
      <c r="Q684" s="1008"/>
    </row>
    <row r="685" spans="1:17" hidden="1">
      <c r="A685" s="966"/>
      <c r="B685" s="967"/>
      <c r="C685" s="967">
        <v>649</v>
      </c>
      <c r="D685" s="967"/>
      <c r="E685" s="968"/>
      <c r="F685" s="968"/>
      <c r="G685" s="968"/>
      <c r="H685" s="968"/>
      <c r="I685" s="968"/>
      <c r="J685" s="968"/>
      <c r="K685" s="967"/>
      <c r="L685" s="967"/>
      <c r="M685" s="967"/>
      <c r="N685" s="967"/>
      <c r="O685" s="1007"/>
      <c r="P685" s="1007"/>
      <c r="Q685" s="1008"/>
    </row>
    <row r="686" spans="1:17" hidden="1">
      <c r="A686" s="966"/>
      <c r="B686" s="967"/>
      <c r="C686" s="967">
        <v>650</v>
      </c>
      <c r="D686" s="967"/>
      <c r="E686" s="968"/>
      <c r="F686" s="968"/>
      <c r="G686" s="968"/>
      <c r="H686" s="968"/>
      <c r="I686" s="968"/>
      <c r="J686" s="968"/>
      <c r="K686" s="967"/>
      <c r="L686" s="967"/>
      <c r="M686" s="967"/>
      <c r="N686" s="967"/>
      <c r="O686" s="1007"/>
      <c r="P686" s="1007"/>
      <c r="Q686" s="1008"/>
    </row>
    <row r="687" spans="1:17" hidden="1">
      <c r="A687" s="966"/>
      <c r="B687" s="967"/>
      <c r="C687" s="967">
        <v>651</v>
      </c>
      <c r="D687" s="967"/>
      <c r="E687" s="968"/>
      <c r="F687" s="968"/>
      <c r="G687" s="968"/>
      <c r="H687" s="968"/>
      <c r="I687" s="968"/>
      <c r="J687" s="968"/>
      <c r="K687" s="967"/>
      <c r="L687" s="967"/>
      <c r="M687" s="967"/>
      <c r="N687" s="967"/>
      <c r="O687" s="1007"/>
      <c r="P687" s="1007"/>
      <c r="Q687" s="1008"/>
    </row>
    <row r="688" spans="1:17" hidden="1">
      <c r="A688" s="966"/>
      <c r="B688" s="967"/>
      <c r="C688" s="967">
        <v>652</v>
      </c>
      <c r="D688" s="967"/>
      <c r="E688" s="968"/>
      <c r="F688" s="968"/>
      <c r="G688" s="968"/>
      <c r="H688" s="968"/>
      <c r="I688" s="968"/>
      <c r="J688" s="968"/>
      <c r="K688" s="967"/>
      <c r="L688" s="967"/>
      <c r="M688" s="967"/>
      <c r="N688" s="967"/>
      <c r="O688" s="1007"/>
      <c r="P688" s="1007"/>
      <c r="Q688" s="1008"/>
    </row>
    <row r="689" spans="1:17" hidden="1">
      <c r="A689" s="966"/>
      <c r="B689" s="967"/>
      <c r="C689" s="967">
        <v>653</v>
      </c>
      <c r="D689" s="967"/>
      <c r="E689" s="968"/>
      <c r="F689" s="968"/>
      <c r="G689" s="968"/>
      <c r="H689" s="968"/>
      <c r="I689" s="968"/>
      <c r="J689" s="968"/>
      <c r="K689" s="967"/>
      <c r="L689" s="967"/>
      <c r="M689" s="967"/>
      <c r="N689" s="967"/>
      <c r="O689" s="1007"/>
      <c r="P689" s="1007"/>
      <c r="Q689" s="1008"/>
    </row>
    <row r="690" spans="1:17" hidden="1">
      <c r="A690" s="966"/>
      <c r="B690" s="967"/>
      <c r="C690" s="967">
        <v>654</v>
      </c>
      <c r="D690" s="967"/>
      <c r="E690" s="968"/>
      <c r="F690" s="968"/>
      <c r="G690" s="968"/>
      <c r="H690" s="968"/>
      <c r="I690" s="968"/>
      <c r="J690" s="968"/>
      <c r="K690" s="967"/>
      <c r="L690" s="967"/>
      <c r="M690" s="967"/>
      <c r="N690" s="967"/>
      <c r="O690" s="1007"/>
      <c r="P690" s="1007"/>
      <c r="Q690" s="1008"/>
    </row>
    <row r="691" spans="1:17" hidden="1">
      <c r="A691" s="966"/>
      <c r="B691" s="967"/>
      <c r="C691" s="967">
        <v>655</v>
      </c>
      <c r="D691" s="967"/>
      <c r="E691" s="968"/>
      <c r="F691" s="968"/>
      <c r="G691" s="968"/>
      <c r="H691" s="968"/>
      <c r="I691" s="968"/>
      <c r="J691" s="968"/>
      <c r="K691" s="967"/>
      <c r="L691" s="967"/>
      <c r="M691" s="967"/>
      <c r="N691" s="967"/>
      <c r="O691" s="1007"/>
      <c r="P691" s="1007"/>
      <c r="Q691" s="1008"/>
    </row>
    <row r="692" spans="1:17" hidden="1">
      <c r="A692" s="966"/>
      <c r="B692" s="967"/>
      <c r="C692" s="967">
        <v>656</v>
      </c>
      <c r="D692" s="967"/>
      <c r="E692" s="968"/>
      <c r="F692" s="968"/>
      <c r="G692" s="968"/>
      <c r="H692" s="968"/>
      <c r="I692" s="968"/>
      <c r="J692" s="968"/>
      <c r="K692" s="967"/>
      <c r="L692" s="967"/>
      <c r="M692" s="967"/>
      <c r="N692" s="967"/>
      <c r="O692" s="1007"/>
      <c r="P692" s="1007"/>
      <c r="Q692" s="1008"/>
    </row>
    <row r="693" spans="1:17" hidden="1">
      <c r="A693" s="966"/>
      <c r="B693" s="967"/>
      <c r="C693" s="967">
        <v>657</v>
      </c>
      <c r="D693" s="967"/>
      <c r="E693" s="968"/>
      <c r="F693" s="968"/>
      <c r="G693" s="968"/>
      <c r="H693" s="968"/>
      <c r="I693" s="968"/>
      <c r="J693" s="968"/>
      <c r="K693" s="967"/>
      <c r="L693" s="967"/>
      <c r="M693" s="967"/>
      <c r="N693" s="967"/>
      <c r="O693" s="1007"/>
      <c r="P693" s="1007"/>
      <c r="Q693" s="1008"/>
    </row>
    <row r="694" spans="1:17" hidden="1">
      <c r="A694" s="966"/>
      <c r="B694" s="967"/>
      <c r="C694" s="967">
        <v>658</v>
      </c>
      <c r="D694" s="967"/>
      <c r="E694" s="968"/>
      <c r="F694" s="968"/>
      <c r="G694" s="968"/>
      <c r="H694" s="968"/>
      <c r="I694" s="968"/>
      <c r="J694" s="968"/>
      <c r="K694" s="967"/>
      <c r="L694" s="967"/>
      <c r="M694" s="967"/>
      <c r="N694" s="967"/>
      <c r="O694" s="1007"/>
      <c r="P694" s="1007"/>
      <c r="Q694" s="1008"/>
    </row>
    <row r="695" spans="1:17" hidden="1">
      <c r="A695" s="966"/>
      <c r="B695" s="967"/>
      <c r="C695" s="967">
        <v>659</v>
      </c>
      <c r="D695" s="967"/>
      <c r="E695" s="968"/>
      <c r="F695" s="968"/>
      <c r="G695" s="968"/>
      <c r="H695" s="968"/>
      <c r="I695" s="968"/>
      <c r="J695" s="968"/>
      <c r="K695" s="967"/>
      <c r="L695" s="967"/>
      <c r="M695" s="967"/>
      <c r="N695" s="967"/>
      <c r="O695" s="1007"/>
      <c r="P695" s="1007"/>
      <c r="Q695" s="1008"/>
    </row>
    <row r="696" spans="1:17" hidden="1">
      <c r="A696" s="966"/>
      <c r="B696" s="967"/>
      <c r="C696" s="967">
        <v>660</v>
      </c>
      <c r="D696" s="967"/>
      <c r="E696" s="968"/>
      <c r="F696" s="968"/>
      <c r="G696" s="968"/>
      <c r="H696" s="968"/>
      <c r="I696" s="968"/>
      <c r="J696" s="968"/>
      <c r="K696" s="967"/>
      <c r="L696" s="967"/>
      <c r="M696" s="967"/>
      <c r="N696" s="967"/>
      <c r="O696" s="1007"/>
      <c r="P696" s="1007"/>
      <c r="Q696" s="1008"/>
    </row>
    <row r="697" spans="1:17" hidden="1">
      <c r="A697" s="966"/>
      <c r="B697" s="967"/>
      <c r="C697" s="967">
        <v>661</v>
      </c>
      <c r="D697" s="967"/>
      <c r="E697" s="968"/>
      <c r="F697" s="968"/>
      <c r="G697" s="968"/>
      <c r="H697" s="968"/>
      <c r="I697" s="968"/>
      <c r="J697" s="968"/>
      <c r="K697" s="967"/>
      <c r="L697" s="967"/>
      <c r="M697" s="967"/>
      <c r="N697" s="967"/>
      <c r="O697" s="1007"/>
      <c r="P697" s="1007"/>
      <c r="Q697" s="1008"/>
    </row>
    <row r="698" spans="1:17" hidden="1">
      <c r="A698" s="966"/>
      <c r="B698" s="967"/>
      <c r="C698" s="967">
        <v>662</v>
      </c>
      <c r="D698" s="967"/>
      <c r="E698" s="968"/>
      <c r="F698" s="968"/>
      <c r="G698" s="968"/>
      <c r="H698" s="968"/>
      <c r="I698" s="968"/>
      <c r="J698" s="968"/>
      <c r="K698" s="967"/>
      <c r="L698" s="967"/>
      <c r="M698" s="967"/>
      <c r="N698" s="967"/>
      <c r="O698" s="1007"/>
      <c r="P698" s="1007"/>
      <c r="Q698" s="1008"/>
    </row>
    <row r="699" spans="1:17" hidden="1">
      <c r="A699" s="966"/>
      <c r="B699" s="967"/>
      <c r="C699" s="967">
        <v>663</v>
      </c>
      <c r="D699" s="967"/>
      <c r="E699" s="968"/>
      <c r="F699" s="968"/>
      <c r="G699" s="968"/>
      <c r="H699" s="968"/>
      <c r="I699" s="968"/>
      <c r="J699" s="968"/>
      <c r="K699" s="967"/>
      <c r="L699" s="967"/>
      <c r="M699" s="967"/>
      <c r="N699" s="967"/>
      <c r="O699" s="1007"/>
      <c r="P699" s="1007"/>
      <c r="Q699" s="1008"/>
    </row>
    <row r="700" spans="1:17" hidden="1">
      <c r="A700" s="966"/>
      <c r="B700" s="967"/>
      <c r="C700" s="967">
        <v>664</v>
      </c>
      <c r="D700" s="967"/>
      <c r="E700" s="968"/>
      <c r="F700" s="968"/>
      <c r="G700" s="968"/>
      <c r="H700" s="968"/>
      <c r="I700" s="968"/>
      <c r="J700" s="968"/>
      <c r="K700" s="967"/>
      <c r="L700" s="967"/>
      <c r="M700" s="967"/>
      <c r="N700" s="967"/>
      <c r="O700" s="1007"/>
      <c r="P700" s="1007"/>
      <c r="Q700" s="1008"/>
    </row>
    <row r="701" spans="1:17" hidden="1">
      <c r="A701" s="966"/>
      <c r="B701" s="967"/>
      <c r="C701" s="967">
        <v>665</v>
      </c>
      <c r="D701" s="967"/>
      <c r="E701" s="968"/>
      <c r="F701" s="968"/>
      <c r="G701" s="968"/>
      <c r="H701" s="968"/>
      <c r="I701" s="968"/>
      <c r="J701" s="968"/>
      <c r="K701" s="967"/>
      <c r="L701" s="967"/>
      <c r="M701" s="967"/>
      <c r="N701" s="967"/>
      <c r="O701" s="1007"/>
      <c r="P701" s="1007"/>
      <c r="Q701" s="1008"/>
    </row>
    <row r="702" spans="1:17" hidden="1">
      <c r="A702" s="966"/>
      <c r="B702" s="967"/>
      <c r="C702" s="967">
        <v>666</v>
      </c>
      <c r="D702" s="967"/>
      <c r="E702" s="968"/>
      <c r="F702" s="968"/>
      <c r="G702" s="968"/>
      <c r="H702" s="968"/>
      <c r="I702" s="968"/>
      <c r="J702" s="968"/>
      <c r="K702" s="967"/>
      <c r="L702" s="967"/>
      <c r="M702" s="967"/>
      <c r="N702" s="967"/>
      <c r="O702" s="1007"/>
      <c r="P702" s="1007"/>
      <c r="Q702" s="1008"/>
    </row>
    <row r="703" spans="1:17" hidden="1">
      <c r="A703" s="966"/>
      <c r="B703" s="967"/>
      <c r="C703" s="967">
        <v>667</v>
      </c>
      <c r="D703" s="967"/>
      <c r="E703" s="968"/>
      <c r="F703" s="968"/>
      <c r="G703" s="968"/>
      <c r="H703" s="968"/>
      <c r="I703" s="968"/>
      <c r="J703" s="968"/>
      <c r="K703" s="967"/>
      <c r="L703" s="967"/>
      <c r="M703" s="967"/>
      <c r="N703" s="967"/>
      <c r="O703" s="1007"/>
      <c r="P703" s="1007"/>
      <c r="Q703" s="1008"/>
    </row>
    <row r="704" spans="1:17" hidden="1">
      <c r="A704" s="966"/>
      <c r="B704" s="967"/>
      <c r="C704" s="967">
        <v>668</v>
      </c>
      <c r="D704" s="967"/>
      <c r="E704" s="968"/>
      <c r="F704" s="968"/>
      <c r="G704" s="968"/>
      <c r="H704" s="968"/>
      <c r="I704" s="968"/>
      <c r="J704" s="968"/>
      <c r="K704" s="967"/>
      <c r="L704" s="967"/>
      <c r="M704" s="967"/>
      <c r="N704" s="967"/>
      <c r="O704" s="1007"/>
      <c r="P704" s="1007"/>
      <c r="Q704" s="1008"/>
    </row>
    <row r="705" spans="1:17" hidden="1">
      <c r="A705" s="966"/>
      <c r="B705" s="967"/>
      <c r="C705" s="967">
        <v>669</v>
      </c>
      <c r="D705" s="967"/>
      <c r="E705" s="968"/>
      <c r="F705" s="968"/>
      <c r="G705" s="968"/>
      <c r="H705" s="968"/>
      <c r="I705" s="968"/>
      <c r="J705" s="968"/>
      <c r="K705" s="967"/>
      <c r="L705" s="967"/>
      <c r="M705" s="967"/>
      <c r="N705" s="967"/>
      <c r="O705" s="1007"/>
      <c r="P705" s="1007"/>
      <c r="Q705" s="1008"/>
    </row>
    <row r="706" spans="1:17" hidden="1">
      <c r="A706" s="966"/>
      <c r="B706" s="967"/>
      <c r="C706" s="967">
        <v>670</v>
      </c>
      <c r="D706" s="967"/>
      <c r="E706" s="968"/>
      <c r="F706" s="968"/>
      <c r="G706" s="968"/>
      <c r="H706" s="968"/>
      <c r="I706" s="968"/>
      <c r="J706" s="968"/>
      <c r="K706" s="967"/>
      <c r="L706" s="967"/>
      <c r="M706" s="967"/>
      <c r="N706" s="967"/>
      <c r="O706" s="1007"/>
      <c r="P706" s="1007"/>
      <c r="Q706" s="1008"/>
    </row>
    <row r="707" spans="1:17" hidden="1">
      <c r="A707" s="966"/>
      <c r="B707" s="967"/>
      <c r="C707" s="967">
        <v>671</v>
      </c>
      <c r="D707" s="967"/>
      <c r="E707" s="968"/>
      <c r="F707" s="968"/>
      <c r="G707" s="968"/>
      <c r="H707" s="968"/>
      <c r="I707" s="968"/>
      <c r="J707" s="968"/>
      <c r="K707" s="967"/>
      <c r="L707" s="967"/>
      <c r="M707" s="967"/>
      <c r="N707" s="967"/>
      <c r="O707" s="1007"/>
      <c r="P707" s="1007"/>
      <c r="Q707" s="1008"/>
    </row>
    <row r="708" spans="1:17" hidden="1">
      <c r="A708" s="966"/>
      <c r="B708" s="967"/>
      <c r="C708" s="967">
        <v>672</v>
      </c>
      <c r="D708" s="967"/>
      <c r="E708" s="968"/>
      <c r="F708" s="968"/>
      <c r="G708" s="968"/>
      <c r="H708" s="968"/>
      <c r="I708" s="968"/>
      <c r="J708" s="968"/>
      <c r="K708" s="967"/>
      <c r="L708" s="967"/>
      <c r="M708" s="967"/>
      <c r="N708" s="967"/>
      <c r="O708" s="1007"/>
      <c r="P708" s="1007"/>
      <c r="Q708" s="1008"/>
    </row>
    <row r="709" spans="1:17" hidden="1">
      <c r="A709" s="966"/>
      <c r="B709" s="967"/>
      <c r="C709" s="967">
        <v>673</v>
      </c>
      <c r="D709" s="967"/>
      <c r="E709" s="968"/>
      <c r="F709" s="968"/>
      <c r="G709" s="968"/>
      <c r="H709" s="968"/>
      <c r="I709" s="968"/>
      <c r="J709" s="968"/>
      <c r="K709" s="967"/>
      <c r="L709" s="967"/>
      <c r="M709" s="967"/>
      <c r="N709" s="967"/>
      <c r="O709" s="1007"/>
      <c r="P709" s="1007"/>
      <c r="Q709" s="1008"/>
    </row>
    <row r="710" spans="1:17" hidden="1">
      <c r="A710" s="966"/>
      <c r="B710" s="967"/>
      <c r="C710" s="967">
        <v>674</v>
      </c>
      <c r="D710" s="967"/>
      <c r="E710" s="968"/>
      <c r="F710" s="968"/>
      <c r="G710" s="968"/>
      <c r="H710" s="968"/>
      <c r="I710" s="968"/>
      <c r="J710" s="968"/>
      <c r="K710" s="967"/>
      <c r="L710" s="967"/>
      <c r="M710" s="967"/>
      <c r="N710" s="967"/>
      <c r="O710" s="1007"/>
      <c r="P710" s="1007"/>
      <c r="Q710" s="1008"/>
    </row>
    <row r="711" spans="1:17" hidden="1">
      <c r="A711" s="966"/>
      <c r="B711" s="967"/>
      <c r="C711" s="967">
        <v>675</v>
      </c>
      <c r="D711" s="967"/>
      <c r="E711" s="968"/>
      <c r="F711" s="968"/>
      <c r="G711" s="968"/>
      <c r="H711" s="968"/>
      <c r="I711" s="968"/>
      <c r="J711" s="968"/>
      <c r="K711" s="967"/>
      <c r="L711" s="967"/>
      <c r="M711" s="967"/>
      <c r="N711" s="967"/>
      <c r="O711" s="1007"/>
      <c r="P711" s="1007"/>
      <c r="Q711" s="1008"/>
    </row>
    <row r="712" spans="1:17" hidden="1">
      <c r="A712" s="966"/>
      <c r="B712" s="967"/>
      <c r="C712" s="967">
        <v>676</v>
      </c>
      <c r="D712" s="967"/>
      <c r="E712" s="968"/>
      <c r="F712" s="968"/>
      <c r="G712" s="968"/>
      <c r="H712" s="968"/>
      <c r="I712" s="968"/>
      <c r="J712" s="968"/>
      <c r="K712" s="967"/>
      <c r="L712" s="967"/>
      <c r="M712" s="967"/>
      <c r="N712" s="967"/>
      <c r="O712" s="1007"/>
      <c r="P712" s="1007"/>
      <c r="Q712" s="1008"/>
    </row>
    <row r="713" spans="1:17" hidden="1">
      <c r="A713" s="966"/>
      <c r="B713" s="967"/>
      <c r="C713" s="967">
        <v>677</v>
      </c>
      <c r="D713" s="967"/>
      <c r="E713" s="968"/>
      <c r="F713" s="968"/>
      <c r="G713" s="968"/>
      <c r="H713" s="968"/>
      <c r="I713" s="968"/>
      <c r="J713" s="968"/>
      <c r="K713" s="967"/>
      <c r="L713" s="967"/>
      <c r="M713" s="967"/>
      <c r="N713" s="967"/>
      <c r="O713" s="1007"/>
      <c r="P713" s="1007"/>
      <c r="Q713" s="1008"/>
    </row>
    <row r="714" spans="1:17" hidden="1">
      <c r="A714" s="966"/>
      <c r="B714" s="967"/>
      <c r="C714" s="967">
        <v>678</v>
      </c>
      <c r="D714" s="967"/>
      <c r="E714" s="968"/>
      <c r="F714" s="968"/>
      <c r="G714" s="968"/>
      <c r="H714" s="968"/>
      <c r="I714" s="968"/>
      <c r="J714" s="968"/>
      <c r="K714" s="967"/>
      <c r="L714" s="967"/>
      <c r="M714" s="967"/>
      <c r="N714" s="967"/>
      <c r="O714" s="1007"/>
      <c r="P714" s="1007"/>
      <c r="Q714" s="1008"/>
    </row>
    <row r="715" spans="1:17" hidden="1">
      <c r="A715" s="966"/>
      <c r="B715" s="967"/>
      <c r="C715" s="967">
        <v>679</v>
      </c>
      <c r="D715" s="967"/>
      <c r="E715" s="968"/>
      <c r="F715" s="968"/>
      <c r="G715" s="968"/>
      <c r="H715" s="968"/>
      <c r="I715" s="968"/>
      <c r="J715" s="968"/>
      <c r="K715" s="967"/>
      <c r="L715" s="967"/>
      <c r="M715" s="967"/>
      <c r="N715" s="967"/>
      <c r="O715" s="1007"/>
      <c r="P715" s="1007"/>
      <c r="Q715" s="1008"/>
    </row>
    <row r="716" spans="1:17" hidden="1">
      <c r="A716" s="966"/>
      <c r="B716" s="967"/>
      <c r="C716" s="967">
        <v>680</v>
      </c>
      <c r="D716" s="967"/>
      <c r="E716" s="968"/>
      <c r="F716" s="968"/>
      <c r="G716" s="968"/>
      <c r="H716" s="968"/>
      <c r="I716" s="968"/>
      <c r="J716" s="968"/>
      <c r="K716" s="967"/>
      <c r="L716" s="967"/>
      <c r="M716" s="967"/>
      <c r="N716" s="967"/>
      <c r="O716" s="1007"/>
      <c r="P716" s="1007"/>
      <c r="Q716" s="1008"/>
    </row>
    <row r="717" spans="1:17" hidden="1">
      <c r="A717" s="966"/>
      <c r="B717" s="967"/>
      <c r="C717" s="967">
        <v>681</v>
      </c>
      <c r="D717" s="967"/>
      <c r="E717" s="968"/>
      <c r="F717" s="968"/>
      <c r="G717" s="968"/>
      <c r="H717" s="968"/>
      <c r="I717" s="968"/>
      <c r="J717" s="968"/>
      <c r="K717" s="967"/>
      <c r="L717" s="967"/>
      <c r="M717" s="967"/>
      <c r="N717" s="967"/>
      <c r="O717" s="1007"/>
      <c r="P717" s="1007"/>
      <c r="Q717" s="1008"/>
    </row>
    <row r="718" spans="1:17" hidden="1">
      <c r="A718" s="966"/>
      <c r="B718" s="967"/>
      <c r="C718" s="967">
        <v>682</v>
      </c>
      <c r="D718" s="967"/>
      <c r="E718" s="968"/>
      <c r="F718" s="968"/>
      <c r="G718" s="968"/>
      <c r="H718" s="968"/>
      <c r="I718" s="968"/>
      <c r="J718" s="968"/>
      <c r="K718" s="967"/>
      <c r="L718" s="967"/>
      <c r="M718" s="967"/>
      <c r="N718" s="967"/>
      <c r="O718" s="1007"/>
      <c r="P718" s="1007"/>
      <c r="Q718" s="1008"/>
    </row>
    <row r="719" spans="1:17" hidden="1">
      <c r="A719" s="966"/>
      <c r="B719" s="967"/>
      <c r="C719" s="967">
        <v>683</v>
      </c>
      <c r="D719" s="967"/>
      <c r="E719" s="968"/>
      <c r="F719" s="968"/>
      <c r="G719" s="968"/>
      <c r="H719" s="968"/>
      <c r="I719" s="968"/>
      <c r="J719" s="968"/>
      <c r="K719" s="967"/>
      <c r="L719" s="967"/>
      <c r="M719" s="967"/>
      <c r="N719" s="967"/>
      <c r="O719" s="1007"/>
      <c r="P719" s="1007"/>
      <c r="Q719" s="1008"/>
    </row>
    <row r="720" spans="1:17" hidden="1">
      <c r="A720" s="966"/>
      <c r="B720" s="967"/>
      <c r="C720" s="967">
        <v>684</v>
      </c>
      <c r="D720" s="967"/>
      <c r="E720" s="968"/>
      <c r="F720" s="968"/>
      <c r="G720" s="968"/>
      <c r="H720" s="968"/>
      <c r="I720" s="968"/>
      <c r="J720" s="968"/>
      <c r="K720" s="967"/>
      <c r="L720" s="967"/>
      <c r="M720" s="967"/>
      <c r="N720" s="967"/>
      <c r="O720" s="1007"/>
      <c r="P720" s="1007"/>
      <c r="Q720" s="1008"/>
    </row>
    <row r="721" spans="1:17" hidden="1">
      <c r="A721" s="966"/>
      <c r="B721" s="967"/>
      <c r="C721" s="967">
        <v>685</v>
      </c>
      <c r="D721" s="967"/>
      <c r="E721" s="968"/>
      <c r="F721" s="968"/>
      <c r="G721" s="968"/>
      <c r="H721" s="968"/>
      <c r="I721" s="968"/>
      <c r="J721" s="968"/>
      <c r="K721" s="967"/>
      <c r="L721" s="967"/>
      <c r="M721" s="967"/>
      <c r="N721" s="967"/>
      <c r="O721" s="1007"/>
      <c r="P721" s="1007"/>
      <c r="Q721" s="1008"/>
    </row>
    <row r="722" spans="1:17" hidden="1">
      <c r="A722" s="966"/>
      <c r="B722" s="967"/>
      <c r="C722" s="967">
        <v>686</v>
      </c>
      <c r="D722" s="967"/>
      <c r="E722" s="968"/>
      <c r="F722" s="968"/>
      <c r="G722" s="968"/>
      <c r="H722" s="968"/>
      <c r="I722" s="968"/>
      <c r="J722" s="968"/>
      <c r="K722" s="967"/>
      <c r="L722" s="967"/>
      <c r="M722" s="967"/>
      <c r="N722" s="967"/>
      <c r="O722" s="1007"/>
      <c r="P722" s="1007"/>
      <c r="Q722" s="1008"/>
    </row>
    <row r="723" spans="1:17" hidden="1">
      <c r="A723" s="966"/>
      <c r="B723" s="967"/>
      <c r="C723" s="967">
        <v>687</v>
      </c>
      <c r="D723" s="967"/>
      <c r="E723" s="968"/>
      <c r="F723" s="968"/>
      <c r="G723" s="968"/>
      <c r="H723" s="968"/>
      <c r="I723" s="968"/>
      <c r="J723" s="968"/>
      <c r="K723" s="967"/>
      <c r="L723" s="967"/>
      <c r="M723" s="967"/>
      <c r="N723" s="967"/>
      <c r="O723" s="1007"/>
      <c r="P723" s="1007"/>
      <c r="Q723" s="1008"/>
    </row>
    <row r="724" spans="1:17" hidden="1">
      <c r="A724" s="966"/>
      <c r="B724" s="967"/>
      <c r="C724" s="967">
        <v>688</v>
      </c>
      <c r="D724" s="967"/>
      <c r="E724" s="968"/>
      <c r="F724" s="968"/>
      <c r="G724" s="968"/>
      <c r="H724" s="968"/>
      <c r="I724" s="968"/>
      <c r="J724" s="968"/>
      <c r="K724" s="967"/>
      <c r="L724" s="967"/>
      <c r="M724" s="967"/>
      <c r="N724" s="967"/>
      <c r="O724" s="1007"/>
      <c r="P724" s="1007"/>
      <c r="Q724" s="1008"/>
    </row>
    <row r="725" spans="1:17" hidden="1">
      <c r="A725" s="966"/>
      <c r="B725" s="967"/>
      <c r="C725" s="967">
        <v>689</v>
      </c>
      <c r="D725" s="967"/>
      <c r="E725" s="968"/>
      <c r="F725" s="968"/>
      <c r="G725" s="968"/>
      <c r="H725" s="968"/>
      <c r="I725" s="968"/>
      <c r="J725" s="968"/>
      <c r="K725" s="967"/>
      <c r="L725" s="967"/>
      <c r="M725" s="967"/>
      <c r="N725" s="967"/>
      <c r="O725" s="1007"/>
      <c r="P725" s="1007"/>
      <c r="Q725" s="1008"/>
    </row>
    <row r="726" spans="1:17" hidden="1">
      <c r="A726" s="966"/>
      <c r="B726" s="967"/>
      <c r="C726" s="967">
        <v>690</v>
      </c>
      <c r="D726" s="967"/>
      <c r="E726" s="968"/>
      <c r="F726" s="968"/>
      <c r="G726" s="968"/>
      <c r="H726" s="968"/>
      <c r="I726" s="968"/>
      <c r="J726" s="968"/>
      <c r="K726" s="967"/>
      <c r="L726" s="967"/>
      <c r="M726" s="967"/>
      <c r="N726" s="967"/>
      <c r="O726" s="1007"/>
      <c r="P726" s="1007"/>
      <c r="Q726" s="1008"/>
    </row>
    <row r="727" spans="1:17" hidden="1">
      <c r="A727" s="966"/>
      <c r="B727" s="967"/>
      <c r="C727" s="967">
        <v>691</v>
      </c>
      <c r="D727" s="967"/>
      <c r="E727" s="968"/>
      <c r="F727" s="968"/>
      <c r="G727" s="968"/>
      <c r="H727" s="968"/>
      <c r="I727" s="968"/>
      <c r="J727" s="968"/>
      <c r="K727" s="967"/>
      <c r="L727" s="967"/>
      <c r="M727" s="967"/>
      <c r="N727" s="967"/>
      <c r="O727" s="1007"/>
      <c r="P727" s="1007"/>
      <c r="Q727" s="1008"/>
    </row>
    <row r="728" spans="1:17" hidden="1">
      <c r="A728" s="966"/>
      <c r="B728" s="967"/>
      <c r="C728" s="967">
        <v>692</v>
      </c>
      <c r="D728" s="967"/>
      <c r="E728" s="968"/>
      <c r="F728" s="968"/>
      <c r="G728" s="968"/>
      <c r="H728" s="968"/>
      <c r="I728" s="968"/>
      <c r="J728" s="968"/>
      <c r="K728" s="967"/>
      <c r="L728" s="967"/>
      <c r="M728" s="967"/>
      <c r="N728" s="967"/>
      <c r="O728" s="1007"/>
      <c r="P728" s="1007"/>
      <c r="Q728" s="1008"/>
    </row>
    <row r="729" spans="1:17" hidden="1">
      <c r="A729" s="966"/>
      <c r="B729" s="967"/>
      <c r="C729" s="967">
        <v>693</v>
      </c>
      <c r="D729" s="967"/>
      <c r="E729" s="968"/>
      <c r="F729" s="968"/>
      <c r="G729" s="968"/>
      <c r="H729" s="968"/>
      <c r="I729" s="968"/>
      <c r="J729" s="968"/>
      <c r="K729" s="967"/>
      <c r="L729" s="967"/>
      <c r="M729" s="967"/>
      <c r="N729" s="967"/>
      <c r="O729" s="1007"/>
      <c r="P729" s="1007"/>
      <c r="Q729" s="1008"/>
    </row>
    <row r="730" spans="1:17" hidden="1">
      <c r="A730" s="966"/>
      <c r="B730" s="967"/>
      <c r="C730" s="967">
        <v>694</v>
      </c>
      <c r="D730" s="967"/>
      <c r="E730" s="968"/>
      <c r="F730" s="968"/>
      <c r="G730" s="968"/>
      <c r="H730" s="968"/>
      <c r="I730" s="968"/>
      <c r="J730" s="968"/>
      <c r="K730" s="967"/>
      <c r="L730" s="967"/>
      <c r="M730" s="967"/>
      <c r="N730" s="967"/>
      <c r="O730" s="1007"/>
      <c r="P730" s="1007"/>
      <c r="Q730" s="1008"/>
    </row>
    <row r="731" spans="1:17" hidden="1">
      <c r="A731" s="966"/>
      <c r="B731" s="967"/>
      <c r="C731" s="967">
        <v>695</v>
      </c>
      <c r="D731" s="967"/>
      <c r="E731" s="968"/>
      <c r="F731" s="968"/>
      <c r="G731" s="968"/>
      <c r="H731" s="968"/>
      <c r="I731" s="968"/>
      <c r="J731" s="968"/>
      <c r="K731" s="967"/>
      <c r="L731" s="967"/>
      <c r="M731" s="967"/>
      <c r="N731" s="967"/>
      <c r="O731" s="1007"/>
      <c r="P731" s="1007"/>
      <c r="Q731" s="1008"/>
    </row>
    <row r="732" spans="1:17" hidden="1">
      <c r="A732" s="966"/>
      <c r="B732" s="967"/>
      <c r="C732" s="967">
        <v>696</v>
      </c>
      <c r="D732" s="967"/>
      <c r="E732" s="968"/>
      <c r="F732" s="968"/>
      <c r="G732" s="968"/>
      <c r="H732" s="968"/>
      <c r="I732" s="968"/>
      <c r="J732" s="968"/>
      <c r="K732" s="967"/>
      <c r="L732" s="967"/>
      <c r="M732" s="967"/>
      <c r="N732" s="967"/>
      <c r="O732" s="1007"/>
      <c r="P732" s="1007"/>
      <c r="Q732" s="1008"/>
    </row>
    <row r="733" spans="1:17" hidden="1">
      <c r="A733" s="966"/>
      <c r="B733" s="967"/>
      <c r="C733" s="967">
        <v>697</v>
      </c>
      <c r="D733" s="967"/>
      <c r="E733" s="968"/>
      <c r="F733" s="968"/>
      <c r="G733" s="968"/>
      <c r="H733" s="968"/>
      <c r="I733" s="968"/>
      <c r="J733" s="968"/>
      <c r="K733" s="967"/>
      <c r="L733" s="967"/>
      <c r="M733" s="967"/>
      <c r="N733" s="967"/>
      <c r="O733" s="1007"/>
      <c r="P733" s="1007"/>
      <c r="Q733" s="1008"/>
    </row>
    <row r="734" spans="1:17" hidden="1">
      <c r="A734" s="966"/>
      <c r="B734" s="967"/>
      <c r="C734" s="967">
        <v>698</v>
      </c>
      <c r="D734" s="967"/>
      <c r="E734" s="968"/>
      <c r="F734" s="968"/>
      <c r="G734" s="968"/>
      <c r="H734" s="968"/>
      <c r="I734" s="968"/>
      <c r="J734" s="968"/>
      <c r="K734" s="967"/>
      <c r="L734" s="967"/>
      <c r="M734" s="967"/>
      <c r="N734" s="967"/>
      <c r="O734" s="1007"/>
      <c r="P734" s="1007"/>
      <c r="Q734" s="1008"/>
    </row>
    <row r="735" spans="1:17" hidden="1">
      <c r="A735" s="966"/>
      <c r="B735" s="967"/>
      <c r="C735" s="967">
        <v>699</v>
      </c>
      <c r="D735" s="967"/>
      <c r="E735" s="968"/>
      <c r="F735" s="968"/>
      <c r="G735" s="968"/>
      <c r="H735" s="968"/>
      <c r="I735" s="968"/>
      <c r="J735" s="968"/>
      <c r="K735" s="967"/>
      <c r="L735" s="967"/>
      <c r="M735" s="967"/>
      <c r="N735" s="967"/>
      <c r="O735" s="1007"/>
      <c r="P735" s="1007"/>
      <c r="Q735" s="1008"/>
    </row>
    <row r="736" spans="1:17" hidden="1">
      <c r="A736" s="966"/>
      <c r="B736" s="967"/>
      <c r="C736" s="967">
        <v>700</v>
      </c>
      <c r="D736" s="967"/>
      <c r="E736" s="968"/>
      <c r="F736" s="968"/>
      <c r="G736" s="968"/>
      <c r="H736" s="968"/>
      <c r="I736" s="968"/>
      <c r="J736" s="968"/>
      <c r="K736" s="967"/>
      <c r="L736" s="967"/>
      <c r="M736" s="967"/>
      <c r="N736" s="967"/>
      <c r="O736" s="1007"/>
      <c r="P736" s="1007"/>
      <c r="Q736" s="1008"/>
    </row>
    <row r="737" spans="1:17" hidden="1">
      <c r="A737" s="966"/>
      <c r="B737" s="967"/>
      <c r="C737" s="967">
        <v>701</v>
      </c>
      <c r="D737" s="967"/>
      <c r="E737" s="968"/>
      <c r="F737" s="968"/>
      <c r="G737" s="968"/>
      <c r="H737" s="968"/>
      <c r="I737" s="968"/>
      <c r="J737" s="968"/>
      <c r="K737" s="967"/>
      <c r="L737" s="967"/>
      <c r="M737" s="967"/>
      <c r="N737" s="967"/>
      <c r="O737" s="1007"/>
      <c r="P737" s="1007"/>
      <c r="Q737" s="1008"/>
    </row>
    <row r="738" spans="1:17" hidden="1">
      <c r="A738" s="966"/>
      <c r="B738" s="967"/>
      <c r="C738" s="967">
        <v>702</v>
      </c>
      <c r="D738" s="967"/>
      <c r="E738" s="968"/>
      <c r="F738" s="968"/>
      <c r="G738" s="968"/>
      <c r="H738" s="968"/>
      <c r="I738" s="968"/>
      <c r="J738" s="968"/>
      <c r="K738" s="967"/>
      <c r="L738" s="967"/>
      <c r="M738" s="967"/>
      <c r="N738" s="967"/>
      <c r="O738" s="1007"/>
      <c r="P738" s="1007"/>
      <c r="Q738" s="1008"/>
    </row>
    <row r="739" spans="1:17" hidden="1">
      <c r="A739" s="966"/>
      <c r="B739" s="967"/>
      <c r="C739" s="967">
        <v>703</v>
      </c>
      <c r="D739" s="967"/>
      <c r="E739" s="968"/>
      <c r="F739" s="968"/>
      <c r="G739" s="968"/>
      <c r="H739" s="968"/>
      <c r="I739" s="968"/>
      <c r="J739" s="968"/>
      <c r="K739" s="967"/>
      <c r="L739" s="967"/>
      <c r="M739" s="967"/>
      <c r="N739" s="967"/>
      <c r="O739" s="1007"/>
      <c r="P739" s="1007"/>
      <c r="Q739" s="1008"/>
    </row>
    <row r="740" spans="1:17" hidden="1">
      <c r="A740" s="966"/>
      <c r="B740" s="967"/>
      <c r="C740" s="967">
        <v>704</v>
      </c>
      <c r="D740" s="967"/>
      <c r="E740" s="968"/>
      <c r="F740" s="968"/>
      <c r="G740" s="968"/>
      <c r="H740" s="968"/>
      <c r="I740" s="968"/>
      <c r="J740" s="968"/>
      <c r="K740" s="967"/>
      <c r="L740" s="967"/>
      <c r="M740" s="967"/>
      <c r="N740" s="967"/>
      <c r="O740" s="1007"/>
      <c r="P740" s="1007"/>
      <c r="Q740" s="1008"/>
    </row>
    <row r="741" spans="1:17" hidden="1">
      <c r="A741" s="966"/>
      <c r="B741" s="967"/>
      <c r="C741" s="967">
        <v>705</v>
      </c>
      <c r="D741" s="967"/>
      <c r="E741" s="968"/>
      <c r="F741" s="968"/>
      <c r="G741" s="968"/>
      <c r="H741" s="968"/>
      <c r="I741" s="968"/>
      <c r="J741" s="968"/>
      <c r="K741" s="967"/>
      <c r="L741" s="967"/>
      <c r="M741" s="967"/>
      <c r="N741" s="967"/>
      <c r="O741" s="1007"/>
      <c r="P741" s="1007"/>
      <c r="Q741" s="1008"/>
    </row>
    <row r="742" spans="1:17" hidden="1">
      <c r="A742" s="966"/>
      <c r="B742" s="967"/>
      <c r="C742" s="967">
        <v>706</v>
      </c>
      <c r="D742" s="967"/>
      <c r="E742" s="968"/>
      <c r="F742" s="968"/>
      <c r="G742" s="968"/>
      <c r="H742" s="968"/>
      <c r="I742" s="968"/>
      <c r="J742" s="968"/>
      <c r="K742" s="967"/>
      <c r="L742" s="967"/>
      <c r="M742" s="967"/>
      <c r="N742" s="967"/>
      <c r="O742" s="1007"/>
      <c r="P742" s="1007"/>
      <c r="Q742" s="1008"/>
    </row>
    <row r="743" spans="1:17" hidden="1">
      <c r="A743" s="966"/>
      <c r="B743" s="967"/>
      <c r="C743" s="967">
        <v>707</v>
      </c>
      <c r="D743" s="967"/>
      <c r="E743" s="968"/>
      <c r="F743" s="968"/>
      <c r="G743" s="968"/>
      <c r="H743" s="968"/>
      <c r="I743" s="968"/>
      <c r="J743" s="968"/>
      <c r="K743" s="967"/>
      <c r="L743" s="967"/>
      <c r="M743" s="967"/>
      <c r="N743" s="967"/>
      <c r="O743" s="1007"/>
      <c r="P743" s="1007"/>
      <c r="Q743" s="1008"/>
    </row>
    <row r="744" spans="1:17" hidden="1">
      <c r="A744" s="966"/>
      <c r="B744" s="967"/>
      <c r="C744" s="967">
        <v>708</v>
      </c>
      <c r="D744" s="967"/>
      <c r="E744" s="968"/>
      <c r="F744" s="968"/>
      <c r="G744" s="968"/>
      <c r="H744" s="968"/>
      <c r="I744" s="968"/>
      <c r="J744" s="968"/>
      <c r="K744" s="967"/>
      <c r="L744" s="967"/>
      <c r="M744" s="967"/>
      <c r="N744" s="967"/>
      <c r="O744" s="1007"/>
      <c r="P744" s="1007"/>
      <c r="Q744" s="1008"/>
    </row>
    <row r="745" spans="1:17" hidden="1">
      <c r="A745" s="966"/>
      <c r="B745" s="967"/>
      <c r="C745" s="967">
        <v>709</v>
      </c>
      <c r="D745" s="967"/>
      <c r="E745" s="968"/>
      <c r="F745" s="968"/>
      <c r="G745" s="968"/>
      <c r="H745" s="968"/>
      <c r="I745" s="968"/>
      <c r="J745" s="968"/>
      <c r="K745" s="967"/>
      <c r="L745" s="967"/>
      <c r="M745" s="967"/>
      <c r="N745" s="967"/>
      <c r="O745" s="1007"/>
      <c r="P745" s="1007"/>
      <c r="Q745" s="1008"/>
    </row>
    <row r="746" spans="1:17" hidden="1">
      <c r="A746" s="966"/>
      <c r="B746" s="967"/>
      <c r="C746" s="967">
        <v>710</v>
      </c>
      <c r="D746" s="967"/>
      <c r="E746" s="968"/>
      <c r="F746" s="968"/>
      <c r="G746" s="968"/>
      <c r="H746" s="968"/>
      <c r="I746" s="968"/>
      <c r="J746" s="968"/>
      <c r="K746" s="967"/>
      <c r="L746" s="967"/>
      <c r="M746" s="967"/>
      <c r="N746" s="967"/>
      <c r="O746" s="1007"/>
      <c r="P746" s="1007"/>
      <c r="Q746" s="1008"/>
    </row>
    <row r="747" spans="1:17" hidden="1">
      <c r="A747" s="966"/>
      <c r="B747" s="967"/>
      <c r="C747" s="967">
        <v>711</v>
      </c>
      <c r="D747" s="967"/>
      <c r="E747" s="968"/>
      <c r="F747" s="968"/>
      <c r="G747" s="968"/>
      <c r="H747" s="968"/>
      <c r="I747" s="968"/>
      <c r="J747" s="968"/>
      <c r="K747" s="967"/>
      <c r="L747" s="967"/>
      <c r="M747" s="967"/>
      <c r="N747" s="967"/>
      <c r="O747" s="1007"/>
      <c r="P747" s="1007"/>
      <c r="Q747" s="1008"/>
    </row>
    <row r="748" spans="1:17" hidden="1">
      <c r="A748" s="966"/>
      <c r="B748" s="967"/>
      <c r="C748" s="967">
        <v>712</v>
      </c>
      <c r="D748" s="967"/>
      <c r="E748" s="968"/>
      <c r="F748" s="968"/>
      <c r="G748" s="968"/>
      <c r="H748" s="968"/>
      <c r="I748" s="968"/>
      <c r="J748" s="968"/>
      <c r="K748" s="967"/>
      <c r="L748" s="967"/>
      <c r="M748" s="967"/>
      <c r="N748" s="967"/>
      <c r="O748" s="1007"/>
      <c r="P748" s="1007"/>
      <c r="Q748" s="1008"/>
    </row>
    <row r="749" spans="1:17" hidden="1">
      <c r="A749" s="966"/>
      <c r="B749" s="967"/>
      <c r="C749" s="967">
        <v>713</v>
      </c>
      <c r="D749" s="967"/>
      <c r="E749" s="968"/>
      <c r="F749" s="968"/>
      <c r="G749" s="968"/>
      <c r="H749" s="968"/>
      <c r="I749" s="968"/>
      <c r="J749" s="968"/>
      <c r="K749" s="967"/>
      <c r="L749" s="967"/>
      <c r="M749" s="967"/>
      <c r="N749" s="967"/>
      <c r="O749" s="1007"/>
      <c r="P749" s="1007"/>
      <c r="Q749" s="1008"/>
    </row>
    <row r="750" spans="1:17" hidden="1">
      <c r="A750" s="966"/>
      <c r="B750" s="967"/>
      <c r="C750" s="967">
        <v>714</v>
      </c>
      <c r="D750" s="967"/>
      <c r="E750" s="968"/>
      <c r="F750" s="968"/>
      <c r="G750" s="968"/>
      <c r="H750" s="968"/>
      <c r="I750" s="968"/>
      <c r="J750" s="968"/>
      <c r="K750" s="967"/>
      <c r="L750" s="967"/>
      <c r="M750" s="967"/>
      <c r="N750" s="967"/>
      <c r="O750" s="1007"/>
      <c r="P750" s="1007"/>
      <c r="Q750" s="1008"/>
    </row>
    <row r="751" spans="1:17" hidden="1">
      <c r="A751" s="966"/>
      <c r="B751" s="967"/>
      <c r="C751" s="967">
        <v>715</v>
      </c>
      <c r="D751" s="967"/>
      <c r="E751" s="968"/>
      <c r="F751" s="968"/>
      <c r="G751" s="968"/>
      <c r="H751" s="968"/>
      <c r="I751" s="968"/>
      <c r="J751" s="968"/>
      <c r="K751" s="967"/>
      <c r="L751" s="967"/>
      <c r="M751" s="967"/>
      <c r="N751" s="967"/>
      <c r="O751" s="1007"/>
      <c r="P751" s="1007"/>
      <c r="Q751" s="1008"/>
    </row>
    <row r="752" spans="1:17" hidden="1">
      <c r="A752" s="966"/>
      <c r="B752" s="967"/>
      <c r="C752" s="967">
        <v>716</v>
      </c>
      <c r="D752" s="967"/>
      <c r="E752" s="968"/>
      <c r="F752" s="968"/>
      <c r="G752" s="968"/>
      <c r="H752" s="968"/>
      <c r="I752" s="968"/>
      <c r="J752" s="968"/>
      <c r="K752" s="967"/>
      <c r="L752" s="967"/>
      <c r="M752" s="967"/>
      <c r="N752" s="967"/>
      <c r="O752" s="1007"/>
      <c r="P752" s="1007"/>
      <c r="Q752" s="1008"/>
    </row>
    <row r="753" spans="1:17" hidden="1">
      <c r="A753" s="966"/>
      <c r="B753" s="967"/>
      <c r="C753" s="967">
        <v>717</v>
      </c>
      <c r="D753" s="967"/>
      <c r="E753" s="968"/>
      <c r="F753" s="968"/>
      <c r="G753" s="968"/>
      <c r="H753" s="968"/>
      <c r="I753" s="968"/>
      <c r="J753" s="968"/>
      <c r="K753" s="967"/>
      <c r="L753" s="967"/>
      <c r="M753" s="967"/>
      <c r="N753" s="967"/>
      <c r="O753" s="1007"/>
      <c r="P753" s="1007"/>
      <c r="Q753" s="1008"/>
    </row>
    <row r="754" spans="1:17" hidden="1">
      <c r="A754" s="966"/>
      <c r="B754" s="967"/>
      <c r="C754" s="967">
        <v>718</v>
      </c>
      <c r="D754" s="967"/>
      <c r="E754" s="968"/>
      <c r="F754" s="968"/>
      <c r="G754" s="968"/>
      <c r="H754" s="968"/>
      <c r="I754" s="968"/>
      <c r="J754" s="968"/>
      <c r="K754" s="967"/>
      <c r="L754" s="967"/>
      <c r="M754" s="967"/>
      <c r="N754" s="967"/>
      <c r="O754" s="1007"/>
      <c r="P754" s="1007"/>
      <c r="Q754" s="1008"/>
    </row>
    <row r="755" spans="1:17" hidden="1">
      <c r="A755" s="966"/>
      <c r="B755" s="967"/>
      <c r="C755" s="967">
        <v>719</v>
      </c>
      <c r="D755" s="967"/>
      <c r="E755" s="968"/>
      <c r="F755" s="968"/>
      <c r="G755" s="968"/>
      <c r="H755" s="968"/>
      <c r="I755" s="968"/>
      <c r="J755" s="968"/>
      <c r="K755" s="967"/>
      <c r="L755" s="967"/>
      <c r="M755" s="967"/>
      <c r="N755" s="967"/>
      <c r="O755" s="1007"/>
      <c r="P755" s="1007"/>
      <c r="Q755" s="1008"/>
    </row>
    <row r="756" spans="1:17" hidden="1">
      <c r="A756" s="966"/>
      <c r="B756" s="967"/>
      <c r="C756" s="967">
        <v>720</v>
      </c>
      <c r="D756" s="967"/>
      <c r="E756" s="968"/>
      <c r="F756" s="968"/>
      <c r="G756" s="968"/>
      <c r="H756" s="968"/>
      <c r="I756" s="968"/>
      <c r="J756" s="968"/>
      <c r="K756" s="967"/>
      <c r="L756" s="967"/>
      <c r="M756" s="967"/>
      <c r="N756" s="967"/>
      <c r="O756" s="1007"/>
      <c r="P756" s="1007"/>
      <c r="Q756" s="1008"/>
    </row>
    <row r="757" spans="1:17" hidden="1">
      <c r="A757" s="966"/>
      <c r="B757" s="967"/>
      <c r="C757" s="967">
        <v>721</v>
      </c>
      <c r="D757" s="967"/>
      <c r="E757" s="968"/>
      <c r="F757" s="968"/>
      <c r="G757" s="968"/>
      <c r="H757" s="968"/>
      <c r="I757" s="968"/>
      <c r="J757" s="968"/>
      <c r="K757" s="967"/>
      <c r="L757" s="967"/>
      <c r="M757" s="967"/>
      <c r="N757" s="967"/>
      <c r="O757" s="1007"/>
      <c r="P757" s="1007"/>
      <c r="Q757" s="1008"/>
    </row>
    <row r="758" spans="1:17" hidden="1">
      <c r="A758" s="966"/>
      <c r="B758" s="967"/>
      <c r="C758" s="967">
        <v>722</v>
      </c>
      <c r="D758" s="967"/>
      <c r="E758" s="968"/>
      <c r="F758" s="968"/>
      <c r="G758" s="968"/>
      <c r="H758" s="968"/>
      <c r="I758" s="968"/>
      <c r="J758" s="968"/>
      <c r="K758" s="967"/>
      <c r="L758" s="967"/>
      <c r="M758" s="967"/>
      <c r="N758" s="967"/>
      <c r="O758" s="1007"/>
      <c r="P758" s="1007"/>
      <c r="Q758" s="1008"/>
    </row>
    <row r="759" spans="1:17" hidden="1">
      <c r="A759" s="966"/>
      <c r="B759" s="967"/>
      <c r="C759" s="967">
        <v>723</v>
      </c>
      <c r="D759" s="967"/>
      <c r="E759" s="968"/>
      <c r="F759" s="968"/>
      <c r="G759" s="968"/>
      <c r="H759" s="968"/>
      <c r="I759" s="968"/>
      <c r="J759" s="968"/>
      <c r="K759" s="967"/>
      <c r="L759" s="967"/>
      <c r="M759" s="967"/>
      <c r="N759" s="967"/>
      <c r="O759" s="1007"/>
      <c r="P759" s="1007"/>
      <c r="Q759" s="1008"/>
    </row>
    <row r="760" spans="1:17" hidden="1">
      <c r="A760" s="966"/>
      <c r="B760" s="967"/>
      <c r="C760" s="967">
        <v>724</v>
      </c>
      <c r="D760" s="967"/>
      <c r="E760" s="968"/>
      <c r="F760" s="968"/>
      <c r="G760" s="968"/>
      <c r="H760" s="968"/>
      <c r="I760" s="968"/>
      <c r="J760" s="968"/>
      <c r="K760" s="967"/>
      <c r="L760" s="967"/>
      <c r="M760" s="967"/>
      <c r="N760" s="967"/>
      <c r="O760" s="1007"/>
      <c r="P760" s="1007"/>
      <c r="Q760" s="1008"/>
    </row>
    <row r="761" spans="1:17" hidden="1">
      <c r="A761" s="966"/>
      <c r="B761" s="967"/>
      <c r="C761" s="967">
        <v>725</v>
      </c>
      <c r="D761" s="967"/>
      <c r="E761" s="968"/>
      <c r="F761" s="968"/>
      <c r="G761" s="968"/>
      <c r="H761" s="968"/>
      <c r="I761" s="968"/>
      <c r="J761" s="968"/>
      <c r="K761" s="967"/>
      <c r="L761" s="967"/>
      <c r="M761" s="967"/>
      <c r="N761" s="967"/>
      <c r="O761" s="1007"/>
      <c r="P761" s="1007"/>
      <c r="Q761" s="1008"/>
    </row>
    <row r="762" spans="1:17" hidden="1">
      <c r="A762" s="966"/>
      <c r="B762" s="967"/>
      <c r="C762" s="967">
        <v>726</v>
      </c>
      <c r="D762" s="967"/>
      <c r="E762" s="968"/>
      <c r="F762" s="968"/>
      <c r="G762" s="968"/>
      <c r="H762" s="968"/>
      <c r="I762" s="968"/>
      <c r="J762" s="968"/>
      <c r="K762" s="967"/>
      <c r="L762" s="967"/>
      <c r="M762" s="967"/>
      <c r="N762" s="967"/>
      <c r="O762" s="1007"/>
      <c r="P762" s="1007"/>
      <c r="Q762" s="1008"/>
    </row>
    <row r="763" spans="1:17" hidden="1">
      <c r="A763" s="966"/>
      <c r="B763" s="967"/>
      <c r="C763" s="967">
        <v>727</v>
      </c>
      <c r="D763" s="967"/>
      <c r="E763" s="968"/>
      <c r="F763" s="968"/>
      <c r="G763" s="968"/>
      <c r="H763" s="968"/>
      <c r="I763" s="968"/>
      <c r="J763" s="968"/>
      <c r="K763" s="967"/>
      <c r="L763" s="967"/>
      <c r="M763" s="967"/>
      <c r="N763" s="967"/>
      <c r="O763" s="1007"/>
      <c r="P763" s="1007"/>
      <c r="Q763" s="1008"/>
    </row>
    <row r="764" spans="1:17" hidden="1">
      <c r="A764" s="966"/>
      <c r="B764" s="967"/>
      <c r="C764" s="967">
        <v>728</v>
      </c>
      <c r="D764" s="967"/>
      <c r="E764" s="968"/>
      <c r="F764" s="968"/>
      <c r="G764" s="968"/>
      <c r="H764" s="968"/>
      <c r="I764" s="968"/>
      <c r="J764" s="968"/>
      <c r="K764" s="967"/>
      <c r="L764" s="967"/>
      <c r="M764" s="967"/>
      <c r="N764" s="967"/>
      <c r="O764" s="1007"/>
      <c r="P764" s="1007"/>
      <c r="Q764" s="1008"/>
    </row>
    <row r="765" spans="1:17" hidden="1">
      <c r="A765" s="966"/>
      <c r="B765" s="967"/>
      <c r="C765" s="967">
        <v>729</v>
      </c>
      <c r="D765" s="967"/>
      <c r="E765" s="968"/>
      <c r="F765" s="968"/>
      <c r="G765" s="968"/>
      <c r="H765" s="968"/>
      <c r="I765" s="968"/>
      <c r="J765" s="968"/>
      <c r="K765" s="967"/>
      <c r="L765" s="967"/>
      <c r="M765" s="967"/>
      <c r="N765" s="967"/>
      <c r="O765" s="1007"/>
      <c r="P765" s="1007"/>
      <c r="Q765" s="1008"/>
    </row>
    <row r="766" spans="1:17" hidden="1">
      <c r="A766" s="966"/>
      <c r="B766" s="967"/>
      <c r="C766" s="967">
        <v>730</v>
      </c>
      <c r="D766" s="967"/>
      <c r="E766" s="968"/>
      <c r="F766" s="968"/>
      <c r="G766" s="968"/>
      <c r="H766" s="968"/>
      <c r="I766" s="968"/>
      <c r="J766" s="968"/>
      <c r="K766" s="967"/>
      <c r="L766" s="967"/>
      <c r="M766" s="967"/>
      <c r="N766" s="967"/>
      <c r="O766" s="1007"/>
      <c r="P766" s="1007"/>
      <c r="Q766" s="1008"/>
    </row>
    <row r="767" spans="1:17" hidden="1">
      <c r="A767" s="966"/>
      <c r="B767" s="967"/>
      <c r="C767" s="967">
        <v>731</v>
      </c>
      <c r="D767" s="967"/>
      <c r="E767" s="968"/>
      <c r="F767" s="968"/>
      <c r="G767" s="968"/>
      <c r="H767" s="968"/>
      <c r="I767" s="968"/>
      <c r="J767" s="968"/>
      <c r="K767" s="967"/>
      <c r="L767" s="967"/>
      <c r="M767" s="967"/>
      <c r="N767" s="967"/>
      <c r="O767" s="1007"/>
      <c r="P767" s="1007"/>
      <c r="Q767" s="1008"/>
    </row>
    <row r="768" spans="1:17" hidden="1">
      <c r="A768" s="966"/>
      <c r="B768" s="967"/>
      <c r="C768" s="967">
        <v>732</v>
      </c>
      <c r="D768" s="967"/>
      <c r="E768" s="968"/>
      <c r="F768" s="968"/>
      <c r="G768" s="968"/>
      <c r="H768" s="968"/>
      <c r="I768" s="968"/>
      <c r="J768" s="968"/>
      <c r="K768" s="967"/>
      <c r="L768" s="967"/>
      <c r="M768" s="967"/>
      <c r="N768" s="967"/>
      <c r="O768" s="1007"/>
      <c r="P768" s="1007"/>
      <c r="Q768" s="1008"/>
    </row>
    <row r="769" spans="1:17" hidden="1">
      <c r="A769" s="966"/>
      <c r="B769" s="967"/>
      <c r="C769" s="967">
        <v>733</v>
      </c>
      <c r="D769" s="967"/>
      <c r="E769" s="968"/>
      <c r="F769" s="968"/>
      <c r="G769" s="968"/>
      <c r="H769" s="968"/>
      <c r="I769" s="968"/>
      <c r="J769" s="968"/>
      <c r="K769" s="967"/>
      <c r="L769" s="967"/>
      <c r="M769" s="967"/>
      <c r="N769" s="967"/>
      <c r="O769" s="1007"/>
      <c r="P769" s="1007"/>
      <c r="Q769" s="1008"/>
    </row>
    <row r="770" spans="1:17" hidden="1">
      <c r="A770" s="966"/>
      <c r="B770" s="967"/>
      <c r="C770" s="967">
        <v>734</v>
      </c>
      <c r="D770" s="967"/>
      <c r="E770" s="968"/>
      <c r="F770" s="968"/>
      <c r="G770" s="968"/>
      <c r="H770" s="968"/>
      <c r="I770" s="968"/>
      <c r="J770" s="968"/>
      <c r="K770" s="967"/>
      <c r="L770" s="967"/>
      <c r="M770" s="967"/>
      <c r="N770" s="967"/>
      <c r="O770" s="1007"/>
      <c r="P770" s="1007"/>
      <c r="Q770" s="1008"/>
    </row>
    <row r="771" spans="1:17" hidden="1">
      <c r="A771" s="966"/>
      <c r="B771" s="967"/>
      <c r="C771" s="967">
        <v>735</v>
      </c>
      <c r="D771" s="967"/>
      <c r="E771" s="968"/>
      <c r="F771" s="968"/>
      <c r="G771" s="968"/>
      <c r="H771" s="968"/>
      <c r="I771" s="968"/>
      <c r="J771" s="968"/>
      <c r="K771" s="967"/>
      <c r="L771" s="967"/>
      <c r="M771" s="967"/>
      <c r="N771" s="967"/>
      <c r="O771" s="1007"/>
      <c r="P771" s="1007"/>
      <c r="Q771" s="1008"/>
    </row>
    <row r="772" spans="1:17" hidden="1">
      <c r="A772" s="966"/>
      <c r="B772" s="967"/>
      <c r="C772" s="967">
        <v>736</v>
      </c>
      <c r="D772" s="967"/>
      <c r="E772" s="968"/>
      <c r="F772" s="968"/>
      <c r="G772" s="968"/>
      <c r="H772" s="968"/>
      <c r="I772" s="968"/>
      <c r="J772" s="968"/>
      <c r="K772" s="967"/>
      <c r="L772" s="967"/>
      <c r="M772" s="967"/>
      <c r="N772" s="967"/>
      <c r="O772" s="1007"/>
      <c r="P772" s="1007"/>
      <c r="Q772" s="1008"/>
    </row>
    <row r="773" spans="1:17" hidden="1">
      <c r="A773" s="966"/>
      <c r="B773" s="967"/>
      <c r="C773" s="967">
        <v>737</v>
      </c>
      <c r="D773" s="967"/>
      <c r="E773" s="968"/>
      <c r="F773" s="968"/>
      <c r="G773" s="968"/>
      <c r="H773" s="968"/>
      <c r="I773" s="968"/>
      <c r="J773" s="968"/>
      <c r="K773" s="967"/>
      <c r="L773" s="967"/>
      <c r="M773" s="967"/>
      <c r="N773" s="967"/>
      <c r="O773" s="1007"/>
      <c r="P773" s="1007"/>
      <c r="Q773" s="1008"/>
    </row>
    <row r="774" spans="1:17" hidden="1">
      <c r="A774" s="966"/>
      <c r="B774" s="967"/>
      <c r="C774" s="967">
        <v>738</v>
      </c>
      <c r="D774" s="967"/>
      <c r="E774" s="968"/>
      <c r="F774" s="968"/>
      <c r="G774" s="968"/>
      <c r="H774" s="968"/>
      <c r="I774" s="968"/>
      <c r="J774" s="968"/>
      <c r="K774" s="967"/>
      <c r="L774" s="967"/>
      <c r="M774" s="967"/>
      <c r="N774" s="967"/>
      <c r="O774" s="1007"/>
      <c r="P774" s="1007"/>
      <c r="Q774" s="1008"/>
    </row>
    <row r="775" spans="1:17" hidden="1">
      <c r="A775" s="966"/>
      <c r="B775" s="967"/>
      <c r="C775" s="967">
        <v>739</v>
      </c>
      <c r="D775" s="967"/>
      <c r="E775" s="968"/>
      <c r="F775" s="968"/>
      <c r="G775" s="968"/>
      <c r="H775" s="968"/>
      <c r="I775" s="968"/>
      <c r="J775" s="968"/>
      <c r="K775" s="967"/>
      <c r="L775" s="967"/>
      <c r="M775" s="967"/>
      <c r="N775" s="967"/>
      <c r="O775" s="1007"/>
      <c r="P775" s="1007"/>
      <c r="Q775" s="1008"/>
    </row>
    <row r="776" spans="1:17" hidden="1">
      <c r="A776" s="966"/>
      <c r="B776" s="967"/>
      <c r="C776" s="967">
        <v>740</v>
      </c>
      <c r="D776" s="967"/>
      <c r="E776" s="968"/>
      <c r="F776" s="968"/>
      <c r="G776" s="968"/>
      <c r="H776" s="968"/>
      <c r="I776" s="968"/>
      <c r="J776" s="968"/>
      <c r="K776" s="967"/>
      <c r="L776" s="967"/>
      <c r="M776" s="967"/>
      <c r="N776" s="967"/>
      <c r="O776" s="1007"/>
      <c r="P776" s="1007"/>
      <c r="Q776" s="1008"/>
    </row>
    <row r="777" spans="1:17" hidden="1">
      <c r="A777" s="966"/>
      <c r="B777" s="967"/>
      <c r="C777" s="967">
        <v>741</v>
      </c>
      <c r="D777" s="967"/>
      <c r="E777" s="968"/>
      <c r="F777" s="968"/>
      <c r="G777" s="968"/>
      <c r="H777" s="968"/>
      <c r="I777" s="968"/>
      <c r="J777" s="968"/>
      <c r="K777" s="967"/>
      <c r="L777" s="967"/>
      <c r="M777" s="967"/>
      <c r="N777" s="967"/>
      <c r="O777" s="1007"/>
      <c r="P777" s="1007"/>
      <c r="Q777" s="1008"/>
    </row>
    <row r="778" spans="1:17" hidden="1">
      <c r="A778" s="966"/>
      <c r="B778" s="967"/>
      <c r="C778" s="967">
        <v>742</v>
      </c>
      <c r="D778" s="967"/>
      <c r="E778" s="968"/>
      <c r="F778" s="968"/>
      <c r="G778" s="968"/>
      <c r="H778" s="968"/>
      <c r="I778" s="968"/>
      <c r="J778" s="968"/>
      <c r="K778" s="967"/>
      <c r="L778" s="967"/>
      <c r="M778" s="967"/>
      <c r="N778" s="967"/>
      <c r="O778" s="1007"/>
      <c r="P778" s="1007"/>
      <c r="Q778" s="1008"/>
    </row>
    <row r="779" spans="1:17" hidden="1">
      <c r="A779" s="966"/>
      <c r="B779" s="967"/>
      <c r="C779" s="967">
        <v>743</v>
      </c>
      <c r="D779" s="967"/>
      <c r="E779" s="968"/>
      <c r="F779" s="968"/>
      <c r="G779" s="968"/>
      <c r="H779" s="968"/>
      <c r="I779" s="968"/>
      <c r="J779" s="968"/>
      <c r="K779" s="967"/>
      <c r="L779" s="967"/>
      <c r="M779" s="967"/>
      <c r="N779" s="967"/>
      <c r="O779" s="1007"/>
      <c r="P779" s="1007"/>
      <c r="Q779" s="1008"/>
    </row>
    <row r="780" spans="1:17" hidden="1">
      <c r="A780" s="966"/>
      <c r="B780" s="967"/>
      <c r="C780" s="967">
        <v>744</v>
      </c>
      <c r="D780" s="967"/>
      <c r="E780" s="968"/>
      <c r="F780" s="968"/>
      <c r="G780" s="968"/>
      <c r="H780" s="968"/>
      <c r="I780" s="968"/>
      <c r="J780" s="968"/>
      <c r="K780" s="967"/>
      <c r="L780" s="967"/>
      <c r="M780" s="967"/>
      <c r="N780" s="967"/>
      <c r="O780" s="1007"/>
      <c r="P780" s="1007"/>
      <c r="Q780" s="1008"/>
    </row>
    <row r="781" spans="1:17" hidden="1">
      <c r="A781" s="966"/>
      <c r="B781" s="967"/>
      <c r="C781" s="967">
        <v>745</v>
      </c>
      <c r="D781" s="967"/>
      <c r="E781" s="968"/>
      <c r="F781" s="968"/>
      <c r="G781" s="968"/>
      <c r="H781" s="968"/>
      <c r="I781" s="968"/>
      <c r="J781" s="968"/>
      <c r="K781" s="967"/>
      <c r="L781" s="967"/>
      <c r="M781" s="967"/>
      <c r="N781" s="967"/>
      <c r="O781" s="1007"/>
      <c r="P781" s="1007"/>
      <c r="Q781" s="1008"/>
    </row>
    <row r="782" spans="1:17" hidden="1">
      <c r="A782" s="966"/>
      <c r="B782" s="967"/>
      <c r="C782" s="967">
        <v>746</v>
      </c>
      <c r="D782" s="967"/>
      <c r="E782" s="968"/>
      <c r="F782" s="968"/>
      <c r="G782" s="968"/>
      <c r="H782" s="968"/>
      <c r="I782" s="968"/>
      <c r="J782" s="968"/>
      <c r="K782" s="967"/>
      <c r="L782" s="967"/>
      <c r="M782" s="967"/>
      <c r="N782" s="967"/>
      <c r="O782" s="1007"/>
      <c r="P782" s="1007"/>
      <c r="Q782" s="1008"/>
    </row>
    <row r="783" spans="1:17" hidden="1">
      <c r="A783" s="966"/>
      <c r="B783" s="967"/>
      <c r="C783" s="967">
        <v>747</v>
      </c>
      <c r="D783" s="967"/>
      <c r="E783" s="968"/>
      <c r="F783" s="968"/>
      <c r="G783" s="968"/>
      <c r="H783" s="968"/>
      <c r="I783" s="968"/>
      <c r="J783" s="968"/>
      <c r="K783" s="967"/>
      <c r="L783" s="967"/>
      <c r="M783" s="967"/>
      <c r="N783" s="967"/>
      <c r="O783" s="1007"/>
      <c r="P783" s="1007"/>
      <c r="Q783" s="1008"/>
    </row>
    <row r="784" spans="1:17" hidden="1">
      <c r="A784" s="966"/>
      <c r="B784" s="967"/>
      <c r="C784" s="967">
        <v>748</v>
      </c>
      <c r="D784" s="967"/>
      <c r="E784" s="968"/>
      <c r="F784" s="968"/>
      <c r="G784" s="968"/>
      <c r="H784" s="968"/>
      <c r="I784" s="968"/>
      <c r="J784" s="968"/>
      <c r="K784" s="967"/>
      <c r="L784" s="967"/>
      <c r="M784" s="967"/>
      <c r="N784" s="967"/>
      <c r="O784" s="1007"/>
      <c r="P784" s="1007"/>
      <c r="Q784" s="1008"/>
    </row>
    <row r="785" spans="1:17" hidden="1">
      <c r="A785" s="966"/>
      <c r="B785" s="967"/>
      <c r="C785" s="967">
        <v>749</v>
      </c>
      <c r="D785" s="967"/>
      <c r="E785" s="968"/>
      <c r="F785" s="968"/>
      <c r="G785" s="968"/>
      <c r="H785" s="968"/>
      <c r="I785" s="968"/>
      <c r="J785" s="968"/>
      <c r="K785" s="967"/>
      <c r="L785" s="967"/>
      <c r="M785" s="967"/>
      <c r="N785" s="967"/>
      <c r="O785" s="1007"/>
      <c r="P785" s="1007"/>
      <c r="Q785" s="1008"/>
    </row>
    <row r="786" spans="1:17" hidden="1">
      <c r="A786" s="966"/>
      <c r="B786" s="967"/>
      <c r="C786" s="967">
        <v>750</v>
      </c>
      <c r="D786" s="967"/>
      <c r="E786" s="968"/>
      <c r="F786" s="968"/>
      <c r="G786" s="968"/>
      <c r="H786" s="968"/>
      <c r="I786" s="968"/>
      <c r="J786" s="968"/>
      <c r="K786" s="967"/>
      <c r="L786" s="967"/>
      <c r="M786" s="967"/>
      <c r="N786" s="967"/>
      <c r="O786" s="1007"/>
      <c r="P786" s="1007"/>
      <c r="Q786" s="1008"/>
    </row>
    <row r="787" spans="1:17" hidden="1">
      <c r="A787" s="966"/>
      <c r="B787" s="967"/>
      <c r="C787" s="967">
        <v>751</v>
      </c>
      <c r="D787" s="967"/>
      <c r="E787" s="968"/>
      <c r="F787" s="968"/>
      <c r="G787" s="968"/>
      <c r="H787" s="968"/>
      <c r="I787" s="968"/>
      <c r="J787" s="968"/>
      <c r="K787" s="967"/>
      <c r="L787" s="967"/>
      <c r="M787" s="967"/>
      <c r="N787" s="967"/>
      <c r="O787" s="1007"/>
      <c r="P787" s="1007"/>
      <c r="Q787" s="1008"/>
    </row>
    <row r="788" spans="1:17" hidden="1">
      <c r="A788" s="966"/>
      <c r="B788" s="967"/>
      <c r="C788" s="967">
        <v>752</v>
      </c>
      <c r="D788" s="967"/>
      <c r="E788" s="968"/>
      <c r="F788" s="968"/>
      <c r="G788" s="968"/>
      <c r="H788" s="968"/>
      <c r="I788" s="968"/>
      <c r="J788" s="968"/>
      <c r="K788" s="967"/>
      <c r="L788" s="967"/>
      <c r="M788" s="967"/>
      <c r="N788" s="967"/>
      <c r="O788" s="1007"/>
      <c r="P788" s="1007"/>
      <c r="Q788" s="1008"/>
    </row>
    <row r="789" spans="1:17" hidden="1">
      <c r="A789" s="966"/>
      <c r="B789" s="967"/>
      <c r="C789" s="967">
        <v>753</v>
      </c>
      <c r="D789" s="967"/>
      <c r="E789" s="968"/>
      <c r="F789" s="968"/>
      <c r="G789" s="968"/>
      <c r="H789" s="968"/>
      <c r="I789" s="968"/>
      <c r="J789" s="968"/>
      <c r="K789" s="967"/>
      <c r="L789" s="967"/>
      <c r="M789" s="967"/>
      <c r="N789" s="967"/>
      <c r="O789" s="1007"/>
      <c r="P789" s="1007"/>
      <c r="Q789" s="1008"/>
    </row>
    <row r="790" spans="1:17" hidden="1">
      <c r="A790" s="966"/>
      <c r="B790" s="967"/>
      <c r="C790" s="967">
        <v>754</v>
      </c>
      <c r="D790" s="967"/>
      <c r="E790" s="968"/>
      <c r="F790" s="968"/>
      <c r="G790" s="968"/>
      <c r="H790" s="968"/>
      <c r="I790" s="968"/>
      <c r="J790" s="968"/>
      <c r="K790" s="967"/>
      <c r="L790" s="967"/>
      <c r="M790" s="967"/>
      <c r="N790" s="967"/>
      <c r="O790" s="1007"/>
      <c r="P790" s="1007"/>
      <c r="Q790" s="1008"/>
    </row>
    <row r="791" spans="1:17" hidden="1">
      <c r="A791" s="966"/>
      <c r="B791" s="967"/>
      <c r="C791" s="967">
        <v>755</v>
      </c>
      <c r="D791" s="967"/>
      <c r="E791" s="968"/>
      <c r="F791" s="968"/>
      <c r="G791" s="968"/>
      <c r="H791" s="968"/>
      <c r="I791" s="968"/>
      <c r="J791" s="968"/>
      <c r="K791" s="967"/>
      <c r="L791" s="967"/>
      <c r="M791" s="967"/>
      <c r="N791" s="967"/>
      <c r="O791" s="1007"/>
      <c r="P791" s="1007"/>
      <c r="Q791" s="1008"/>
    </row>
    <row r="792" spans="1:17" hidden="1">
      <c r="A792" s="966"/>
      <c r="B792" s="967"/>
      <c r="C792" s="967">
        <v>756</v>
      </c>
      <c r="D792" s="967"/>
      <c r="E792" s="968"/>
      <c r="F792" s="968"/>
      <c r="G792" s="968"/>
      <c r="H792" s="968"/>
      <c r="I792" s="968"/>
      <c r="J792" s="968"/>
      <c r="K792" s="967"/>
      <c r="L792" s="967"/>
      <c r="M792" s="967"/>
      <c r="N792" s="967"/>
      <c r="O792" s="1007"/>
      <c r="P792" s="1007"/>
      <c r="Q792" s="1008"/>
    </row>
    <row r="793" spans="1:17" hidden="1">
      <c r="A793" s="966"/>
      <c r="B793" s="967"/>
      <c r="C793" s="967">
        <v>757</v>
      </c>
      <c r="D793" s="967"/>
      <c r="E793" s="968"/>
      <c r="F793" s="968"/>
      <c r="G793" s="968"/>
      <c r="H793" s="968"/>
      <c r="I793" s="968"/>
      <c r="J793" s="968"/>
      <c r="K793" s="967"/>
      <c r="L793" s="967"/>
      <c r="M793" s="967"/>
      <c r="N793" s="967"/>
      <c r="O793" s="1007"/>
      <c r="P793" s="1007"/>
      <c r="Q793" s="1008"/>
    </row>
    <row r="794" spans="1:17" hidden="1">
      <c r="A794" s="966"/>
      <c r="B794" s="967"/>
      <c r="C794" s="967">
        <v>758</v>
      </c>
      <c r="D794" s="967"/>
      <c r="E794" s="968"/>
      <c r="F794" s="968"/>
      <c r="G794" s="968"/>
      <c r="H794" s="968"/>
      <c r="I794" s="968"/>
      <c r="J794" s="968"/>
      <c r="K794" s="967"/>
      <c r="L794" s="967"/>
      <c r="M794" s="967"/>
      <c r="N794" s="967"/>
      <c r="O794" s="1007"/>
      <c r="P794" s="1007"/>
      <c r="Q794" s="1008"/>
    </row>
    <row r="795" spans="1:17" hidden="1">
      <c r="A795" s="966"/>
      <c r="B795" s="967"/>
      <c r="C795" s="967">
        <v>759</v>
      </c>
      <c r="D795" s="967"/>
      <c r="E795" s="968"/>
      <c r="F795" s="968"/>
      <c r="G795" s="968"/>
      <c r="H795" s="968"/>
      <c r="I795" s="968"/>
      <c r="J795" s="968"/>
      <c r="K795" s="967"/>
      <c r="L795" s="967"/>
      <c r="M795" s="967"/>
      <c r="N795" s="967"/>
      <c r="O795" s="1007"/>
      <c r="P795" s="1007"/>
      <c r="Q795" s="1008"/>
    </row>
    <row r="796" spans="1:17" hidden="1">
      <c r="A796" s="966"/>
      <c r="B796" s="967"/>
      <c r="C796" s="967">
        <v>760</v>
      </c>
      <c r="D796" s="967"/>
      <c r="E796" s="968"/>
      <c r="F796" s="968"/>
      <c r="G796" s="968"/>
      <c r="H796" s="968"/>
      <c r="I796" s="968"/>
      <c r="J796" s="968"/>
      <c r="K796" s="967"/>
      <c r="L796" s="967"/>
      <c r="M796" s="967"/>
      <c r="N796" s="967"/>
      <c r="O796" s="1007"/>
      <c r="P796" s="1007"/>
      <c r="Q796" s="1008"/>
    </row>
    <row r="797" spans="1:17" hidden="1">
      <c r="A797" s="966"/>
      <c r="B797" s="967"/>
      <c r="C797" s="967">
        <v>761</v>
      </c>
      <c r="D797" s="967"/>
      <c r="E797" s="968"/>
      <c r="F797" s="968"/>
      <c r="G797" s="968"/>
      <c r="H797" s="968"/>
      <c r="I797" s="968"/>
      <c r="J797" s="968"/>
      <c r="K797" s="967"/>
      <c r="L797" s="967"/>
      <c r="M797" s="967"/>
      <c r="N797" s="967"/>
      <c r="O797" s="1007"/>
      <c r="P797" s="1007"/>
      <c r="Q797" s="1008"/>
    </row>
    <row r="798" spans="1:17" hidden="1">
      <c r="A798" s="966"/>
      <c r="B798" s="967"/>
      <c r="C798" s="967">
        <v>762</v>
      </c>
      <c r="D798" s="967"/>
      <c r="E798" s="968"/>
      <c r="F798" s="968"/>
      <c r="G798" s="968"/>
      <c r="H798" s="968"/>
      <c r="I798" s="968"/>
      <c r="J798" s="968"/>
      <c r="K798" s="967"/>
      <c r="L798" s="967"/>
      <c r="M798" s="967"/>
      <c r="N798" s="967"/>
      <c r="O798" s="1007"/>
      <c r="P798" s="1007"/>
      <c r="Q798" s="1008"/>
    </row>
    <row r="799" spans="1:17" hidden="1">
      <c r="A799" s="966"/>
      <c r="B799" s="967"/>
      <c r="C799" s="967">
        <v>763</v>
      </c>
      <c r="D799" s="967"/>
      <c r="E799" s="968"/>
      <c r="F799" s="968"/>
      <c r="G799" s="968"/>
      <c r="H799" s="968"/>
      <c r="I799" s="968"/>
      <c r="J799" s="968"/>
      <c r="K799" s="967"/>
      <c r="L799" s="967"/>
      <c r="M799" s="967"/>
      <c r="N799" s="967"/>
      <c r="O799" s="1007"/>
      <c r="P799" s="1007"/>
      <c r="Q799" s="1008"/>
    </row>
    <row r="800" spans="1:17" hidden="1">
      <c r="A800" s="966"/>
      <c r="B800" s="967"/>
      <c r="C800" s="967">
        <v>764</v>
      </c>
      <c r="D800" s="967"/>
      <c r="E800" s="968"/>
      <c r="F800" s="968"/>
      <c r="G800" s="968"/>
      <c r="H800" s="968"/>
      <c r="I800" s="968"/>
      <c r="J800" s="968"/>
      <c r="K800" s="967"/>
      <c r="L800" s="967"/>
      <c r="M800" s="967"/>
      <c r="N800" s="967"/>
      <c r="O800" s="1007"/>
      <c r="P800" s="1007"/>
      <c r="Q800" s="1008"/>
    </row>
    <row r="801" spans="1:17" hidden="1">
      <c r="A801" s="966"/>
      <c r="B801" s="967"/>
      <c r="C801" s="967">
        <v>765</v>
      </c>
      <c r="D801" s="967"/>
      <c r="E801" s="968"/>
      <c r="F801" s="968"/>
      <c r="G801" s="968"/>
      <c r="H801" s="968"/>
      <c r="I801" s="968"/>
      <c r="J801" s="968"/>
      <c r="K801" s="967"/>
      <c r="L801" s="967"/>
      <c r="M801" s="967"/>
      <c r="N801" s="967"/>
      <c r="O801" s="1007"/>
      <c r="P801" s="1007"/>
      <c r="Q801" s="1008"/>
    </row>
    <row r="802" spans="1:17" hidden="1">
      <c r="A802" s="966"/>
      <c r="B802" s="967"/>
      <c r="C802" s="967">
        <v>766</v>
      </c>
      <c r="D802" s="967"/>
      <c r="E802" s="968"/>
      <c r="F802" s="968"/>
      <c r="G802" s="968"/>
      <c r="H802" s="968"/>
      <c r="I802" s="968"/>
      <c r="J802" s="968"/>
      <c r="K802" s="967"/>
      <c r="L802" s="967"/>
      <c r="M802" s="967"/>
      <c r="N802" s="967"/>
      <c r="O802" s="1007"/>
      <c r="P802" s="1007"/>
      <c r="Q802" s="1008"/>
    </row>
    <row r="803" spans="1:17" hidden="1">
      <c r="A803" s="966"/>
      <c r="B803" s="967"/>
      <c r="C803" s="967">
        <v>767</v>
      </c>
      <c r="D803" s="967"/>
      <c r="E803" s="968"/>
      <c r="F803" s="968"/>
      <c r="G803" s="968"/>
      <c r="H803" s="968"/>
      <c r="I803" s="968"/>
      <c r="J803" s="968"/>
      <c r="K803" s="967"/>
      <c r="L803" s="967"/>
      <c r="M803" s="967"/>
      <c r="N803" s="967"/>
      <c r="O803" s="1007"/>
      <c r="P803" s="1007"/>
      <c r="Q803" s="1008"/>
    </row>
    <row r="804" spans="1:17" hidden="1">
      <c r="A804" s="966"/>
      <c r="B804" s="967"/>
      <c r="C804" s="967">
        <v>768</v>
      </c>
      <c r="D804" s="967"/>
      <c r="E804" s="968"/>
      <c r="F804" s="968"/>
      <c r="G804" s="968"/>
      <c r="H804" s="968"/>
      <c r="I804" s="968"/>
      <c r="J804" s="968"/>
      <c r="K804" s="967"/>
      <c r="L804" s="967"/>
      <c r="M804" s="967"/>
      <c r="N804" s="967"/>
      <c r="O804" s="1007"/>
      <c r="P804" s="1007"/>
      <c r="Q804" s="1008"/>
    </row>
    <row r="805" spans="1:17" hidden="1">
      <c r="A805" s="966"/>
      <c r="B805" s="967"/>
      <c r="C805" s="967">
        <v>769</v>
      </c>
      <c r="D805" s="967"/>
      <c r="E805" s="968"/>
      <c r="F805" s="968"/>
      <c r="G805" s="968"/>
      <c r="H805" s="968"/>
      <c r="I805" s="968"/>
      <c r="J805" s="968"/>
      <c r="K805" s="967"/>
      <c r="L805" s="967"/>
      <c r="M805" s="967"/>
      <c r="N805" s="967"/>
      <c r="O805" s="1007"/>
      <c r="P805" s="1007"/>
      <c r="Q805" s="1008"/>
    </row>
    <row r="806" spans="1:17" hidden="1">
      <c r="A806" s="966"/>
      <c r="B806" s="967"/>
      <c r="C806" s="967">
        <v>770</v>
      </c>
      <c r="D806" s="967"/>
      <c r="E806" s="968"/>
      <c r="F806" s="968"/>
      <c r="G806" s="968"/>
      <c r="H806" s="968"/>
      <c r="I806" s="968"/>
      <c r="J806" s="968"/>
      <c r="K806" s="967"/>
      <c r="L806" s="967"/>
      <c r="M806" s="967"/>
      <c r="N806" s="967"/>
      <c r="O806" s="1007"/>
      <c r="P806" s="1007"/>
      <c r="Q806" s="1008"/>
    </row>
    <row r="807" spans="1:17" hidden="1">
      <c r="A807" s="966"/>
      <c r="B807" s="967"/>
      <c r="C807" s="967">
        <v>771</v>
      </c>
      <c r="D807" s="967"/>
      <c r="E807" s="968"/>
      <c r="F807" s="968"/>
      <c r="G807" s="968"/>
      <c r="H807" s="968"/>
      <c r="I807" s="968"/>
      <c r="J807" s="968"/>
      <c r="K807" s="967"/>
      <c r="L807" s="967"/>
      <c r="M807" s="967"/>
      <c r="N807" s="967"/>
      <c r="O807" s="1007"/>
      <c r="P807" s="1007"/>
      <c r="Q807" s="1008"/>
    </row>
    <row r="808" spans="1:17" hidden="1">
      <c r="A808" s="966"/>
      <c r="B808" s="967"/>
      <c r="C808" s="967">
        <v>772</v>
      </c>
      <c r="D808" s="967"/>
      <c r="E808" s="968"/>
      <c r="F808" s="968"/>
      <c r="G808" s="968"/>
      <c r="H808" s="968"/>
      <c r="I808" s="968"/>
      <c r="J808" s="968"/>
      <c r="K808" s="967"/>
      <c r="L808" s="967"/>
      <c r="M808" s="967"/>
      <c r="N808" s="967"/>
      <c r="O808" s="1007"/>
      <c r="P808" s="1007"/>
      <c r="Q808" s="1008"/>
    </row>
    <row r="809" spans="1:17" hidden="1">
      <c r="A809" s="966"/>
      <c r="B809" s="967"/>
      <c r="C809" s="967">
        <v>773</v>
      </c>
      <c r="D809" s="967"/>
      <c r="E809" s="968"/>
      <c r="F809" s="968"/>
      <c r="G809" s="968"/>
      <c r="H809" s="968"/>
      <c r="I809" s="968"/>
      <c r="J809" s="968"/>
      <c r="K809" s="967"/>
      <c r="L809" s="967"/>
      <c r="M809" s="967"/>
      <c r="N809" s="967"/>
      <c r="O809" s="1007"/>
      <c r="P809" s="1007"/>
      <c r="Q809" s="1008"/>
    </row>
    <row r="810" spans="1:17" hidden="1">
      <c r="A810" s="966"/>
      <c r="B810" s="967"/>
      <c r="C810" s="967">
        <v>774</v>
      </c>
      <c r="D810" s="967"/>
      <c r="E810" s="968"/>
      <c r="F810" s="968"/>
      <c r="G810" s="968"/>
      <c r="H810" s="968"/>
      <c r="I810" s="968"/>
      <c r="J810" s="968"/>
      <c r="K810" s="967"/>
      <c r="L810" s="967"/>
      <c r="M810" s="967"/>
      <c r="N810" s="967"/>
      <c r="O810" s="1007"/>
      <c r="P810" s="1007"/>
      <c r="Q810" s="1008"/>
    </row>
    <row r="811" spans="1:17" hidden="1">
      <c r="A811" s="966"/>
      <c r="B811" s="967"/>
      <c r="C811" s="967">
        <v>775</v>
      </c>
      <c r="D811" s="967"/>
      <c r="E811" s="968"/>
      <c r="F811" s="968"/>
      <c r="G811" s="968"/>
      <c r="H811" s="968"/>
      <c r="I811" s="968"/>
      <c r="J811" s="968"/>
      <c r="K811" s="967"/>
      <c r="L811" s="967"/>
      <c r="M811" s="967"/>
      <c r="N811" s="967"/>
      <c r="O811" s="1007"/>
      <c r="P811" s="1007"/>
      <c r="Q811" s="1008"/>
    </row>
    <row r="812" spans="1:17" hidden="1">
      <c r="A812" s="966"/>
      <c r="B812" s="967"/>
      <c r="C812" s="967">
        <v>776</v>
      </c>
      <c r="D812" s="967"/>
      <c r="E812" s="968"/>
      <c r="F812" s="968"/>
      <c r="G812" s="968"/>
      <c r="H812" s="968"/>
      <c r="I812" s="968"/>
      <c r="J812" s="968"/>
      <c r="K812" s="967"/>
      <c r="L812" s="967"/>
      <c r="M812" s="967"/>
      <c r="N812" s="967"/>
      <c r="O812" s="1007"/>
      <c r="P812" s="1007"/>
      <c r="Q812" s="1008"/>
    </row>
    <row r="813" spans="1:17" hidden="1">
      <c r="A813" s="966"/>
      <c r="B813" s="967"/>
      <c r="C813" s="967">
        <v>777</v>
      </c>
      <c r="D813" s="967"/>
      <c r="E813" s="968"/>
      <c r="F813" s="968"/>
      <c r="G813" s="968"/>
      <c r="H813" s="968"/>
      <c r="I813" s="968"/>
      <c r="J813" s="968"/>
      <c r="K813" s="967"/>
      <c r="L813" s="967"/>
      <c r="M813" s="967"/>
      <c r="N813" s="967"/>
      <c r="O813" s="1007"/>
      <c r="P813" s="1007"/>
      <c r="Q813" s="1008"/>
    </row>
    <row r="814" spans="1:17" hidden="1">
      <c r="A814" s="966"/>
      <c r="B814" s="967"/>
      <c r="C814" s="967">
        <v>778</v>
      </c>
      <c r="D814" s="967"/>
      <c r="E814" s="968"/>
      <c r="F814" s="968"/>
      <c r="G814" s="968"/>
      <c r="H814" s="968"/>
      <c r="I814" s="968"/>
      <c r="J814" s="968"/>
      <c r="K814" s="967"/>
      <c r="L814" s="967"/>
      <c r="M814" s="967"/>
      <c r="N814" s="967"/>
      <c r="O814" s="1007"/>
      <c r="P814" s="1007"/>
      <c r="Q814" s="1008"/>
    </row>
    <row r="815" spans="1:17" hidden="1">
      <c r="A815" s="966"/>
      <c r="B815" s="967"/>
      <c r="C815" s="967">
        <v>779</v>
      </c>
      <c r="D815" s="967"/>
      <c r="E815" s="968"/>
      <c r="F815" s="968"/>
      <c r="G815" s="968"/>
      <c r="H815" s="968"/>
      <c r="I815" s="968"/>
      <c r="J815" s="968"/>
      <c r="K815" s="967"/>
      <c r="L815" s="967"/>
      <c r="M815" s="967"/>
      <c r="N815" s="967"/>
      <c r="O815" s="1007"/>
      <c r="P815" s="1007"/>
      <c r="Q815" s="1008"/>
    </row>
    <row r="816" spans="1:17" hidden="1">
      <c r="A816" s="966"/>
      <c r="B816" s="967"/>
      <c r="C816" s="967">
        <v>780</v>
      </c>
      <c r="D816" s="967"/>
      <c r="E816" s="968"/>
      <c r="F816" s="968"/>
      <c r="G816" s="968"/>
      <c r="H816" s="968"/>
      <c r="I816" s="968"/>
      <c r="J816" s="968"/>
      <c r="K816" s="967"/>
      <c r="L816" s="967"/>
      <c r="M816" s="967"/>
      <c r="N816" s="967"/>
      <c r="O816" s="1007"/>
      <c r="P816" s="1007"/>
      <c r="Q816" s="1008"/>
    </row>
    <row r="817" spans="1:17" hidden="1">
      <c r="A817" s="966"/>
      <c r="B817" s="967"/>
      <c r="C817" s="967">
        <v>781</v>
      </c>
      <c r="D817" s="967"/>
      <c r="E817" s="968"/>
      <c r="F817" s="968"/>
      <c r="G817" s="968"/>
      <c r="H817" s="968"/>
      <c r="I817" s="968"/>
      <c r="J817" s="968"/>
      <c r="K817" s="967"/>
      <c r="L817" s="967"/>
      <c r="M817" s="967"/>
      <c r="N817" s="967"/>
      <c r="O817" s="1007"/>
      <c r="P817" s="1007"/>
      <c r="Q817" s="1008"/>
    </row>
    <row r="818" spans="1:17" hidden="1">
      <c r="A818" s="966"/>
      <c r="B818" s="967"/>
      <c r="C818" s="967">
        <v>782</v>
      </c>
      <c r="D818" s="967"/>
      <c r="E818" s="968"/>
      <c r="F818" s="968"/>
      <c r="G818" s="968"/>
      <c r="H818" s="968"/>
      <c r="I818" s="968"/>
      <c r="J818" s="968"/>
      <c r="K818" s="967"/>
      <c r="L818" s="967"/>
      <c r="M818" s="967"/>
      <c r="N818" s="967"/>
      <c r="O818" s="1007"/>
      <c r="P818" s="1007"/>
      <c r="Q818" s="1008"/>
    </row>
    <row r="819" spans="1:17" hidden="1">
      <c r="A819" s="966"/>
      <c r="B819" s="967"/>
      <c r="C819" s="967">
        <v>783</v>
      </c>
      <c r="D819" s="967"/>
      <c r="E819" s="968"/>
      <c r="F819" s="968"/>
      <c r="G819" s="968"/>
      <c r="H819" s="968"/>
      <c r="I819" s="968"/>
      <c r="J819" s="968"/>
      <c r="K819" s="967"/>
      <c r="L819" s="967"/>
      <c r="M819" s="967"/>
      <c r="N819" s="967"/>
      <c r="O819" s="1007"/>
      <c r="P819" s="1007"/>
      <c r="Q819" s="1008"/>
    </row>
    <row r="820" spans="1:17" hidden="1">
      <c r="A820" s="966"/>
      <c r="B820" s="967"/>
      <c r="C820" s="967">
        <v>784</v>
      </c>
      <c r="D820" s="967"/>
      <c r="E820" s="968"/>
      <c r="F820" s="968"/>
      <c r="G820" s="968"/>
      <c r="H820" s="968"/>
      <c r="I820" s="968"/>
      <c r="J820" s="968"/>
      <c r="K820" s="967"/>
      <c r="L820" s="967"/>
      <c r="M820" s="967"/>
      <c r="N820" s="967"/>
      <c r="O820" s="1007"/>
      <c r="P820" s="1007"/>
      <c r="Q820" s="1008"/>
    </row>
    <row r="821" spans="1:17" hidden="1">
      <c r="A821" s="966"/>
      <c r="B821" s="967"/>
      <c r="C821" s="967">
        <v>785</v>
      </c>
      <c r="D821" s="967"/>
      <c r="E821" s="968"/>
      <c r="F821" s="968"/>
      <c r="G821" s="968"/>
      <c r="H821" s="968"/>
      <c r="I821" s="968"/>
      <c r="J821" s="968"/>
      <c r="K821" s="967"/>
      <c r="L821" s="967"/>
      <c r="M821" s="967"/>
      <c r="N821" s="967"/>
      <c r="O821" s="1007"/>
      <c r="P821" s="1007"/>
      <c r="Q821" s="1008"/>
    </row>
    <row r="822" spans="1:17" hidden="1">
      <c r="A822" s="966"/>
      <c r="B822" s="967"/>
      <c r="C822" s="967">
        <v>786</v>
      </c>
      <c r="D822" s="967"/>
      <c r="E822" s="968"/>
      <c r="F822" s="968"/>
      <c r="G822" s="968"/>
      <c r="H822" s="968"/>
      <c r="I822" s="968"/>
      <c r="J822" s="968"/>
      <c r="K822" s="967"/>
      <c r="L822" s="967"/>
      <c r="M822" s="967"/>
      <c r="N822" s="967"/>
      <c r="O822" s="1007"/>
      <c r="P822" s="1007"/>
      <c r="Q822" s="1008"/>
    </row>
    <row r="823" spans="1:17" hidden="1">
      <c r="A823" s="966"/>
      <c r="B823" s="967"/>
      <c r="C823" s="967">
        <v>787</v>
      </c>
      <c r="D823" s="967"/>
      <c r="E823" s="968"/>
      <c r="F823" s="968"/>
      <c r="G823" s="968"/>
      <c r="H823" s="968"/>
      <c r="I823" s="968"/>
      <c r="J823" s="968"/>
      <c r="K823" s="967"/>
      <c r="L823" s="967"/>
      <c r="M823" s="967"/>
      <c r="N823" s="967"/>
      <c r="O823" s="1007"/>
      <c r="P823" s="1007"/>
      <c r="Q823" s="1008"/>
    </row>
    <row r="824" spans="1:17" hidden="1">
      <c r="A824" s="966"/>
      <c r="B824" s="967"/>
      <c r="C824" s="967">
        <v>788</v>
      </c>
      <c r="D824" s="967"/>
      <c r="E824" s="968"/>
      <c r="F824" s="968"/>
      <c r="G824" s="968"/>
      <c r="H824" s="968"/>
      <c r="I824" s="968"/>
      <c r="J824" s="968"/>
      <c r="K824" s="967"/>
      <c r="L824" s="967"/>
      <c r="M824" s="967"/>
      <c r="N824" s="967"/>
      <c r="O824" s="1007"/>
      <c r="P824" s="1007"/>
      <c r="Q824" s="1008"/>
    </row>
    <row r="825" spans="1:17" hidden="1">
      <c r="A825" s="966"/>
      <c r="B825" s="967"/>
      <c r="C825" s="967">
        <v>789</v>
      </c>
      <c r="D825" s="967"/>
      <c r="E825" s="968"/>
      <c r="F825" s="968"/>
      <c r="G825" s="968"/>
      <c r="H825" s="968"/>
      <c r="I825" s="968"/>
      <c r="J825" s="968"/>
      <c r="K825" s="967"/>
      <c r="L825" s="967"/>
      <c r="M825" s="967"/>
      <c r="N825" s="967"/>
      <c r="O825" s="1007"/>
      <c r="P825" s="1007"/>
      <c r="Q825" s="1008"/>
    </row>
    <row r="826" spans="1:17" hidden="1">
      <c r="A826" s="966"/>
      <c r="B826" s="967"/>
      <c r="C826" s="967">
        <v>790</v>
      </c>
      <c r="D826" s="967"/>
      <c r="E826" s="968"/>
      <c r="F826" s="968"/>
      <c r="G826" s="968"/>
      <c r="H826" s="968"/>
      <c r="I826" s="968"/>
      <c r="J826" s="968"/>
      <c r="K826" s="967"/>
      <c r="L826" s="967"/>
      <c r="M826" s="967"/>
      <c r="N826" s="967"/>
      <c r="O826" s="1007"/>
      <c r="P826" s="1007"/>
      <c r="Q826" s="1008"/>
    </row>
    <row r="827" spans="1:17" hidden="1">
      <c r="A827" s="966"/>
      <c r="B827" s="967"/>
      <c r="C827" s="967">
        <v>791</v>
      </c>
      <c r="D827" s="967"/>
      <c r="E827" s="968"/>
      <c r="F827" s="968"/>
      <c r="G827" s="968"/>
      <c r="H827" s="968"/>
      <c r="I827" s="968"/>
      <c r="J827" s="968"/>
      <c r="K827" s="967"/>
      <c r="L827" s="967"/>
      <c r="M827" s="967"/>
      <c r="N827" s="967"/>
      <c r="O827" s="1007"/>
      <c r="P827" s="1007"/>
      <c r="Q827" s="1008"/>
    </row>
    <row r="828" spans="1:17" hidden="1">
      <c r="A828" s="966"/>
      <c r="B828" s="967"/>
      <c r="C828" s="967">
        <v>792</v>
      </c>
      <c r="D828" s="967"/>
      <c r="E828" s="968"/>
      <c r="F828" s="968"/>
      <c r="G828" s="968"/>
      <c r="H828" s="968"/>
      <c r="I828" s="968"/>
      <c r="J828" s="968"/>
      <c r="K828" s="967"/>
      <c r="L828" s="967"/>
      <c r="M828" s="967"/>
      <c r="N828" s="967"/>
      <c r="O828" s="1007"/>
      <c r="P828" s="1007"/>
      <c r="Q828" s="1008"/>
    </row>
    <row r="829" spans="1:17" hidden="1">
      <c r="A829" s="966"/>
      <c r="B829" s="967"/>
      <c r="C829" s="967">
        <v>793</v>
      </c>
      <c r="D829" s="967"/>
      <c r="E829" s="968"/>
      <c r="F829" s="968"/>
      <c r="G829" s="968"/>
      <c r="H829" s="968"/>
      <c r="I829" s="968"/>
      <c r="J829" s="968"/>
      <c r="K829" s="967"/>
      <c r="L829" s="967"/>
      <c r="M829" s="967"/>
      <c r="N829" s="967"/>
      <c r="O829" s="1007"/>
      <c r="P829" s="1007"/>
      <c r="Q829" s="1008"/>
    </row>
    <row r="830" spans="1:17" hidden="1">
      <c r="A830" s="966"/>
      <c r="B830" s="967"/>
      <c r="C830" s="967">
        <v>794</v>
      </c>
      <c r="D830" s="967"/>
      <c r="E830" s="968"/>
      <c r="F830" s="968"/>
      <c r="G830" s="968"/>
      <c r="H830" s="968"/>
      <c r="I830" s="968"/>
      <c r="J830" s="968"/>
      <c r="K830" s="967"/>
      <c r="L830" s="967"/>
      <c r="M830" s="967"/>
      <c r="N830" s="967"/>
      <c r="O830" s="1007"/>
      <c r="P830" s="1007"/>
      <c r="Q830" s="1008"/>
    </row>
    <row r="831" spans="1:17" hidden="1">
      <c r="A831" s="966"/>
      <c r="B831" s="967"/>
      <c r="C831" s="967">
        <v>795</v>
      </c>
      <c r="D831" s="967"/>
      <c r="E831" s="968"/>
      <c r="F831" s="968"/>
      <c r="G831" s="968"/>
      <c r="H831" s="968"/>
      <c r="I831" s="968"/>
      <c r="J831" s="968"/>
      <c r="K831" s="967"/>
      <c r="L831" s="967"/>
      <c r="M831" s="967"/>
      <c r="N831" s="967"/>
      <c r="O831" s="1007"/>
      <c r="P831" s="1007"/>
      <c r="Q831" s="1008"/>
    </row>
    <row r="832" spans="1:17" hidden="1">
      <c r="A832" s="966"/>
      <c r="B832" s="967"/>
      <c r="C832" s="967">
        <v>796</v>
      </c>
      <c r="D832" s="967"/>
      <c r="E832" s="968"/>
      <c r="F832" s="968"/>
      <c r="G832" s="968"/>
      <c r="H832" s="968"/>
      <c r="I832" s="968"/>
      <c r="J832" s="968"/>
      <c r="K832" s="967"/>
      <c r="L832" s="967"/>
      <c r="M832" s="967"/>
      <c r="N832" s="967"/>
      <c r="O832" s="1007"/>
      <c r="P832" s="1007"/>
      <c r="Q832" s="1008"/>
    </row>
    <row r="833" spans="1:17" hidden="1">
      <c r="A833" s="966"/>
      <c r="B833" s="967"/>
      <c r="C833" s="967">
        <v>797</v>
      </c>
      <c r="D833" s="967"/>
      <c r="E833" s="968"/>
      <c r="F833" s="968"/>
      <c r="G833" s="968"/>
      <c r="H833" s="968"/>
      <c r="I833" s="968"/>
      <c r="J833" s="968"/>
      <c r="K833" s="967"/>
      <c r="L833" s="967"/>
      <c r="M833" s="967"/>
      <c r="N833" s="967"/>
      <c r="O833" s="1007"/>
      <c r="P833" s="1007"/>
      <c r="Q833" s="1008"/>
    </row>
    <row r="834" spans="1:17" hidden="1">
      <c r="A834" s="966"/>
      <c r="B834" s="967"/>
      <c r="C834" s="967">
        <v>798</v>
      </c>
      <c r="D834" s="967"/>
      <c r="E834" s="968"/>
      <c r="F834" s="968"/>
      <c r="G834" s="968"/>
      <c r="H834" s="968"/>
      <c r="I834" s="968"/>
      <c r="J834" s="968"/>
      <c r="K834" s="967"/>
      <c r="L834" s="967"/>
      <c r="M834" s="967"/>
      <c r="N834" s="967"/>
      <c r="O834" s="1007"/>
      <c r="P834" s="1007"/>
      <c r="Q834" s="1008"/>
    </row>
    <row r="835" spans="1:17" hidden="1">
      <c r="A835" s="966"/>
      <c r="B835" s="967"/>
      <c r="C835" s="967">
        <v>799</v>
      </c>
      <c r="D835" s="967"/>
      <c r="E835" s="968"/>
      <c r="F835" s="968"/>
      <c r="G835" s="968"/>
      <c r="H835" s="968"/>
      <c r="I835" s="968"/>
      <c r="J835" s="968"/>
      <c r="K835" s="967"/>
      <c r="L835" s="967"/>
      <c r="M835" s="967"/>
      <c r="N835" s="967"/>
      <c r="O835" s="1007"/>
      <c r="P835" s="1007"/>
      <c r="Q835" s="1008"/>
    </row>
    <row r="836" spans="1:17" hidden="1">
      <c r="A836" s="966"/>
      <c r="B836" s="967"/>
      <c r="C836" s="967">
        <v>800</v>
      </c>
      <c r="D836" s="967"/>
      <c r="E836" s="968"/>
      <c r="F836" s="968"/>
      <c r="G836" s="968"/>
      <c r="H836" s="968"/>
      <c r="I836" s="968"/>
      <c r="J836" s="968"/>
      <c r="K836" s="967"/>
      <c r="L836" s="967"/>
      <c r="M836" s="967"/>
      <c r="N836" s="967"/>
      <c r="O836" s="1007"/>
      <c r="P836" s="1007"/>
      <c r="Q836" s="1008"/>
    </row>
    <row r="837" spans="1:17" hidden="1">
      <c r="A837" s="966"/>
      <c r="B837" s="967"/>
      <c r="C837" s="967">
        <v>801</v>
      </c>
      <c r="D837" s="967"/>
      <c r="E837" s="968"/>
      <c r="F837" s="968"/>
      <c r="G837" s="968"/>
      <c r="H837" s="968"/>
      <c r="I837" s="968"/>
      <c r="J837" s="968"/>
      <c r="K837" s="967"/>
      <c r="L837" s="967"/>
      <c r="M837" s="967"/>
      <c r="N837" s="967"/>
      <c r="O837" s="1007"/>
      <c r="P837" s="1007"/>
      <c r="Q837" s="1008"/>
    </row>
    <row r="838" spans="1:17" hidden="1">
      <c r="A838" s="966"/>
      <c r="B838" s="967"/>
      <c r="C838" s="967">
        <v>802</v>
      </c>
      <c r="D838" s="967"/>
      <c r="E838" s="968"/>
      <c r="F838" s="968"/>
      <c r="G838" s="968"/>
      <c r="H838" s="968"/>
      <c r="I838" s="968"/>
      <c r="J838" s="968"/>
      <c r="K838" s="967"/>
      <c r="L838" s="967"/>
      <c r="M838" s="967"/>
      <c r="N838" s="967"/>
      <c r="O838" s="1007"/>
      <c r="P838" s="1007"/>
      <c r="Q838" s="1008"/>
    </row>
    <row r="839" spans="1:17" hidden="1">
      <c r="A839" s="966"/>
      <c r="B839" s="967"/>
      <c r="C839" s="967">
        <v>803</v>
      </c>
      <c r="D839" s="967"/>
      <c r="E839" s="968"/>
      <c r="F839" s="968"/>
      <c r="G839" s="968"/>
      <c r="H839" s="968"/>
      <c r="I839" s="968"/>
      <c r="J839" s="968"/>
      <c r="K839" s="967"/>
      <c r="L839" s="967"/>
      <c r="M839" s="967"/>
      <c r="N839" s="967"/>
      <c r="O839" s="1007"/>
      <c r="P839" s="1007"/>
      <c r="Q839" s="1008"/>
    </row>
    <row r="840" spans="1:17" hidden="1">
      <c r="A840" s="966"/>
      <c r="B840" s="967"/>
      <c r="C840" s="967">
        <v>804</v>
      </c>
      <c r="D840" s="967"/>
      <c r="E840" s="968"/>
      <c r="F840" s="968"/>
      <c r="G840" s="968"/>
      <c r="H840" s="968"/>
      <c r="I840" s="968"/>
      <c r="J840" s="968"/>
      <c r="K840" s="967"/>
      <c r="L840" s="967"/>
      <c r="M840" s="967"/>
      <c r="N840" s="967"/>
      <c r="O840" s="1007"/>
      <c r="P840" s="1007"/>
      <c r="Q840" s="1008"/>
    </row>
    <row r="841" spans="1:17" hidden="1">
      <c r="A841" s="966"/>
      <c r="B841" s="967"/>
      <c r="C841" s="967">
        <v>805</v>
      </c>
      <c r="D841" s="967"/>
      <c r="E841" s="968"/>
      <c r="F841" s="968"/>
      <c r="G841" s="968"/>
      <c r="H841" s="968"/>
      <c r="I841" s="968"/>
      <c r="J841" s="968"/>
      <c r="K841" s="967"/>
      <c r="L841" s="967"/>
      <c r="M841" s="967"/>
      <c r="N841" s="967"/>
      <c r="O841" s="1007"/>
      <c r="P841" s="1007"/>
      <c r="Q841" s="1008"/>
    </row>
    <row r="842" spans="1:17" hidden="1">
      <c r="A842" s="966"/>
      <c r="B842" s="967"/>
      <c r="C842" s="967">
        <v>806</v>
      </c>
      <c r="D842" s="967"/>
      <c r="E842" s="968"/>
      <c r="F842" s="968"/>
      <c r="G842" s="968"/>
      <c r="H842" s="968"/>
      <c r="I842" s="968"/>
      <c r="J842" s="968"/>
      <c r="K842" s="967"/>
      <c r="L842" s="967"/>
      <c r="M842" s="967"/>
      <c r="N842" s="967"/>
      <c r="O842" s="1007"/>
      <c r="P842" s="1007"/>
      <c r="Q842" s="1008"/>
    </row>
    <row r="843" spans="1:17" hidden="1">
      <c r="A843" s="966"/>
      <c r="B843" s="967"/>
      <c r="C843" s="967">
        <v>807</v>
      </c>
      <c r="D843" s="967"/>
      <c r="E843" s="968"/>
      <c r="F843" s="968"/>
      <c r="G843" s="968"/>
      <c r="H843" s="968"/>
      <c r="I843" s="968"/>
      <c r="J843" s="968"/>
      <c r="K843" s="967"/>
      <c r="L843" s="967"/>
      <c r="M843" s="967"/>
      <c r="N843" s="967"/>
      <c r="O843" s="1007"/>
      <c r="P843" s="1007"/>
      <c r="Q843" s="1008"/>
    </row>
    <row r="844" spans="1:17" hidden="1">
      <c r="A844" s="966"/>
      <c r="B844" s="967"/>
      <c r="C844" s="967">
        <v>808</v>
      </c>
      <c r="D844" s="967"/>
      <c r="E844" s="968"/>
      <c r="F844" s="968"/>
      <c r="G844" s="968"/>
      <c r="H844" s="968"/>
      <c r="I844" s="968"/>
      <c r="J844" s="968"/>
      <c r="K844" s="967"/>
      <c r="L844" s="967"/>
      <c r="M844" s="967"/>
      <c r="N844" s="967"/>
      <c r="O844" s="1007"/>
      <c r="P844" s="1007"/>
      <c r="Q844" s="1008"/>
    </row>
    <row r="845" spans="1:17" hidden="1">
      <c r="A845" s="966"/>
      <c r="B845" s="967"/>
      <c r="C845" s="967">
        <v>809</v>
      </c>
      <c r="D845" s="967"/>
      <c r="E845" s="968"/>
      <c r="F845" s="968"/>
      <c r="G845" s="968"/>
      <c r="H845" s="968"/>
      <c r="I845" s="968"/>
      <c r="J845" s="968"/>
      <c r="K845" s="967"/>
      <c r="L845" s="967"/>
      <c r="M845" s="967"/>
      <c r="N845" s="967"/>
      <c r="O845" s="1007"/>
      <c r="P845" s="1007"/>
      <c r="Q845" s="1008"/>
    </row>
    <row r="846" spans="1:17" hidden="1">
      <c r="A846" s="966"/>
      <c r="B846" s="967"/>
      <c r="C846" s="967">
        <v>810</v>
      </c>
      <c r="D846" s="967"/>
      <c r="E846" s="968"/>
      <c r="F846" s="968"/>
      <c r="G846" s="968"/>
      <c r="H846" s="968"/>
      <c r="I846" s="968"/>
      <c r="J846" s="968"/>
      <c r="K846" s="967"/>
      <c r="L846" s="967"/>
      <c r="M846" s="967"/>
      <c r="N846" s="967"/>
      <c r="O846" s="1007"/>
      <c r="P846" s="1007"/>
      <c r="Q846" s="1008"/>
    </row>
    <row r="847" spans="1:17" hidden="1">
      <c r="A847" s="966"/>
      <c r="B847" s="967"/>
      <c r="C847" s="967">
        <v>811</v>
      </c>
      <c r="D847" s="967"/>
      <c r="E847" s="968"/>
      <c r="F847" s="968"/>
      <c r="G847" s="968"/>
      <c r="H847" s="968"/>
      <c r="I847" s="968"/>
      <c r="J847" s="968"/>
      <c r="K847" s="967"/>
      <c r="L847" s="967"/>
      <c r="M847" s="967"/>
      <c r="N847" s="967"/>
      <c r="O847" s="1007"/>
      <c r="P847" s="1007"/>
      <c r="Q847" s="1008"/>
    </row>
    <row r="848" spans="1:17" hidden="1">
      <c r="A848" s="966"/>
      <c r="B848" s="967"/>
      <c r="C848" s="967">
        <v>812</v>
      </c>
      <c r="D848" s="967"/>
      <c r="E848" s="968"/>
      <c r="F848" s="968"/>
      <c r="G848" s="968"/>
      <c r="H848" s="968"/>
      <c r="I848" s="968"/>
      <c r="J848" s="968"/>
      <c r="K848" s="967"/>
      <c r="L848" s="967"/>
      <c r="M848" s="967"/>
      <c r="N848" s="967"/>
      <c r="O848" s="1007"/>
      <c r="P848" s="1007"/>
      <c r="Q848" s="1008"/>
    </row>
    <row r="849" spans="1:17" hidden="1">
      <c r="A849" s="966"/>
      <c r="B849" s="967"/>
      <c r="C849" s="967">
        <v>813</v>
      </c>
      <c r="D849" s="967"/>
      <c r="E849" s="968"/>
      <c r="F849" s="968"/>
      <c r="G849" s="968"/>
      <c r="H849" s="968"/>
      <c r="I849" s="968"/>
      <c r="J849" s="968"/>
      <c r="K849" s="967"/>
      <c r="L849" s="967"/>
      <c r="M849" s="967"/>
      <c r="N849" s="967"/>
      <c r="O849" s="1007"/>
      <c r="P849" s="1007"/>
      <c r="Q849" s="1008"/>
    </row>
    <row r="850" spans="1:17" hidden="1">
      <c r="A850" s="966"/>
      <c r="B850" s="967"/>
      <c r="C850" s="967">
        <v>814</v>
      </c>
      <c r="D850" s="967"/>
      <c r="E850" s="968"/>
      <c r="F850" s="968"/>
      <c r="G850" s="968"/>
      <c r="H850" s="968"/>
      <c r="I850" s="968"/>
      <c r="J850" s="968"/>
      <c r="K850" s="967"/>
      <c r="L850" s="967"/>
      <c r="M850" s="967"/>
      <c r="N850" s="967"/>
      <c r="O850" s="1007"/>
      <c r="P850" s="1007"/>
      <c r="Q850" s="1008"/>
    </row>
    <row r="851" spans="1:17" hidden="1">
      <c r="A851" s="966"/>
      <c r="B851" s="967"/>
      <c r="C851" s="967">
        <v>815</v>
      </c>
      <c r="D851" s="967"/>
      <c r="E851" s="968"/>
      <c r="F851" s="968"/>
      <c r="G851" s="968"/>
      <c r="H851" s="968"/>
      <c r="I851" s="968"/>
      <c r="J851" s="968"/>
      <c r="K851" s="967"/>
      <c r="L851" s="967"/>
      <c r="M851" s="967"/>
      <c r="N851" s="967"/>
      <c r="O851" s="1007"/>
      <c r="P851" s="1007"/>
      <c r="Q851" s="1008"/>
    </row>
    <row r="852" spans="1:17" hidden="1">
      <c r="A852" s="966"/>
      <c r="B852" s="967"/>
      <c r="C852" s="967">
        <v>816</v>
      </c>
      <c r="D852" s="967"/>
      <c r="E852" s="968"/>
      <c r="F852" s="968"/>
      <c r="G852" s="968"/>
      <c r="H852" s="968"/>
      <c r="I852" s="968"/>
      <c r="J852" s="968"/>
      <c r="K852" s="967"/>
      <c r="L852" s="967"/>
      <c r="M852" s="967"/>
      <c r="N852" s="967"/>
      <c r="O852" s="1007"/>
      <c r="P852" s="1007"/>
      <c r="Q852" s="1008"/>
    </row>
    <row r="853" spans="1:17" hidden="1">
      <c r="A853" s="966"/>
      <c r="B853" s="967"/>
      <c r="C853" s="967">
        <v>817</v>
      </c>
      <c r="D853" s="967"/>
      <c r="E853" s="968"/>
      <c r="F853" s="968"/>
      <c r="G853" s="968"/>
      <c r="H853" s="968"/>
      <c r="I853" s="968"/>
      <c r="J853" s="968"/>
      <c r="K853" s="967"/>
      <c r="L853" s="967"/>
      <c r="M853" s="967"/>
      <c r="N853" s="967"/>
      <c r="O853" s="1007"/>
      <c r="P853" s="1007"/>
      <c r="Q853" s="1008"/>
    </row>
    <row r="854" spans="1:17" hidden="1">
      <c r="A854" s="966"/>
      <c r="B854" s="967"/>
      <c r="C854" s="967">
        <v>818</v>
      </c>
      <c r="D854" s="967"/>
      <c r="E854" s="968"/>
      <c r="F854" s="968"/>
      <c r="G854" s="968"/>
      <c r="H854" s="968"/>
      <c r="I854" s="968"/>
      <c r="J854" s="968"/>
      <c r="K854" s="967"/>
      <c r="L854" s="967"/>
      <c r="M854" s="967"/>
      <c r="N854" s="967"/>
      <c r="O854" s="1007"/>
      <c r="P854" s="1007"/>
      <c r="Q854" s="1008"/>
    </row>
    <row r="855" spans="1:17" hidden="1">
      <c r="A855" s="966"/>
      <c r="B855" s="967"/>
      <c r="C855" s="967">
        <v>819</v>
      </c>
      <c r="D855" s="967"/>
      <c r="E855" s="968"/>
      <c r="F855" s="968"/>
      <c r="G855" s="968"/>
      <c r="H855" s="968"/>
      <c r="I855" s="968"/>
      <c r="J855" s="968"/>
      <c r="K855" s="967"/>
      <c r="L855" s="967"/>
      <c r="M855" s="967"/>
      <c r="N855" s="967"/>
      <c r="O855" s="1007"/>
      <c r="P855" s="1007"/>
      <c r="Q855" s="1008"/>
    </row>
    <row r="856" spans="1:17" hidden="1">
      <c r="A856" s="966"/>
      <c r="B856" s="967"/>
      <c r="C856" s="967">
        <v>820</v>
      </c>
      <c r="D856" s="967"/>
      <c r="E856" s="968"/>
      <c r="F856" s="968"/>
      <c r="G856" s="968"/>
      <c r="H856" s="968"/>
      <c r="I856" s="968"/>
      <c r="J856" s="968"/>
      <c r="K856" s="967"/>
      <c r="L856" s="967"/>
      <c r="M856" s="967"/>
      <c r="N856" s="967"/>
      <c r="O856" s="1007"/>
      <c r="P856" s="1007"/>
      <c r="Q856" s="1008"/>
    </row>
    <row r="857" spans="1:17" hidden="1">
      <c r="A857" s="966"/>
      <c r="B857" s="967"/>
      <c r="C857" s="967">
        <v>821</v>
      </c>
      <c r="D857" s="967"/>
      <c r="E857" s="968"/>
      <c r="F857" s="968"/>
      <c r="G857" s="968"/>
      <c r="H857" s="968"/>
      <c r="I857" s="968"/>
      <c r="J857" s="968"/>
      <c r="K857" s="967"/>
      <c r="L857" s="967"/>
      <c r="M857" s="967"/>
      <c r="N857" s="967"/>
      <c r="O857" s="1007"/>
      <c r="P857" s="1007"/>
      <c r="Q857" s="1008"/>
    </row>
    <row r="858" spans="1:17" hidden="1">
      <c r="A858" s="966"/>
      <c r="B858" s="967"/>
      <c r="C858" s="967">
        <v>822</v>
      </c>
      <c r="D858" s="967"/>
      <c r="E858" s="968"/>
      <c r="F858" s="968"/>
      <c r="G858" s="968"/>
      <c r="H858" s="968"/>
      <c r="I858" s="968"/>
      <c r="J858" s="968"/>
      <c r="K858" s="967"/>
      <c r="L858" s="967"/>
      <c r="M858" s="967"/>
      <c r="N858" s="967"/>
      <c r="O858" s="1007"/>
      <c r="P858" s="1007"/>
      <c r="Q858" s="1008"/>
    </row>
    <row r="859" spans="1:17" hidden="1">
      <c r="A859" s="966"/>
      <c r="B859" s="967"/>
      <c r="C859" s="967">
        <v>823</v>
      </c>
      <c r="D859" s="967"/>
      <c r="E859" s="968"/>
      <c r="F859" s="968"/>
      <c r="G859" s="968"/>
      <c r="H859" s="968"/>
      <c r="I859" s="968"/>
      <c r="J859" s="968"/>
      <c r="K859" s="967"/>
      <c r="L859" s="967"/>
      <c r="M859" s="967"/>
      <c r="N859" s="967"/>
      <c r="O859" s="1007"/>
      <c r="P859" s="1007"/>
      <c r="Q859" s="1008"/>
    </row>
    <row r="860" spans="1:17" hidden="1">
      <c r="A860" s="966"/>
      <c r="B860" s="967"/>
      <c r="C860" s="967">
        <v>824</v>
      </c>
      <c r="D860" s="967"/>
      <c r="E860" s="968"/>
      <c r="F860" s="968"/>
      <c r="G860" s="968"/>
      <c r="H860" s="968"/>
      <c r="I860" s="968"/>
      <c r="J860" s="968"/>
      <c r="K860" s="967"/>
      <c r="L860" s="967"/>
      <c r="M860" s="967"/>
      <c r="N860" s="967"/>
      <c r="O860" s="1007"/>
      <c r="P860" s="1007"/>
      <c r="Q860" s="1008"/>
    </row>
    <row r="861" spans="1:17" hidden="1">
      <c r="A861" s="966"/>
      <c r="B861" s="967"/>
      <c r="C861" s="967">
        <v>825</v>
      </c>
      <c r="D861" s="967"/>
      <c r="E861" s="968"/>
      <c r="F861" s="968"/>
      <c r="G861" s="968"/>
      <c r="H861" s="968"/>
      <c r="I861" s="968"/>
      <c r="J861" s="968"/>
      <c r="K861" s="967"/>
      <c r="L861" s="967"/>
      <c r="M861" s="967"/>
      <c r="N861" s="967"/>
      <c r="O861" s="1007"/>
      <c r="P861" s="1007"/>
      <c r="Q861" s="1008"/>
    </row>
    <row r="862" spans="1:17" hidden="1">
      <c r="A862" s="966"/>
      <c r="B862" s="967"/>
      <c r="C862" s="967">
        <v>826</v>
      </c>
      <c r="D862" s="967"/>
      <c r="E862" s="968"/>
      <c r="F862" s="968"/>
      <c r="G862" s="968"/>
      <c r="H862" s="968"/>
      <c r="I862" s="968"/>
      <c r="J862" s="968"/>
      <c r="K862" s="967"/>
      <c r="L862" s="967"/>
      <c r="M862" s="967"/>
      <c r="N862" s="967"/>
      <c r="O862" s="1007"/>
      <c r="P862" s="1007"/>
      <c r="Q862" s="1008"/>
    </row>
    <row r="863" spans="1:17" hidden="1">
      <c r="A863" s="966"/>
      <c r="B863" s="967"/>
      <c r="C863" s="967">
        <v>827</v>
      </c>
      <c r="D863" s="967"/>
      <c r="E863" s="968"/>
      <c r="F863" s="968"/>
      <c r="G863" s="968"/>
      <c r="H863" s="968"/>
      <c r="I863" s="968"/>
      <c r="J863" s="968"/>
      <c r="K863" s="967"/>
      <c r="L863" s="967"/>
      <c r="M863" s="967"/>
      <c r="N863" s="967"/>
      <c r="O863" s="1007"/>
      <c r="P863" s="1007"/>
      <c r="Q863" s="1008"/>
    </row>
    <row r="864" spans="1:17" hidden="1">
      <c r="A864" s="966"/>
      <c r="B864" s="967"/>
      <c r="C864" s="967">
        <v>828</v>
      </c>
      <c r="D864" s="967"/>
      <c r="E864" s="968"/>
      <c r="F864" s="968"/>
      <c r="G864" s="968"/>
      <c r="H864" s="968"/>
      <c r="I864" s="968"/>
      <c r="J864" s="968"/>
      <c r="K864" s="967"/>
      <c r="L864" s="967"/>
      <c r="M864" s="967"/>
      <c r="N864" s="967"/>
      <c r="O864" s="1007"/>
      <c r="P864" s="1007"/>
      <c r="Q864" s="1008"/>
    </row>
    <row r="865" spans="1:17" hidden="1">
      <c r="A865" s="966"/>
      <c r="B865" s="967"/>
      <c r="C865" s="967">
        <v>829</v>
      </c>
      <c r="D865" s="967"/>
      <c r="E865" s="968"/>
      <c r="F865" s="968"/>
      <c r="G865" s="968"/>
      <c r="H865" s="968"/>
      <c r="I865" s="968"/>
      <c r="J865" s="968"/>
      <c r="K865" s="967"/>
      <c r="L865" s="967"/>
      <c r="M865" s="967"/>
      <c r="N865" s="967"/>
      <c r="O865" s="1007"/>
      <c r="P865" s="1007"/>
      <c r="Q865" s="1008"/>
    </row>
    <row r="866" spans="1:17" hidden="1">
      <c r="A866" s="966"/>
      <c r="B866" s="967"/>
      <c r="C866" s="967">
        <v>830</v>
      </c>
      <c r="D866" s="967"/>
      <c r="E866" s="968"/>
      <c r="F866" s="968"/>
      <c r="G866" s="968"/>
      <c r="H866" s="968"/>
      <c r="I866" s="968"/>
      <c r="J866" s="968"/>
      <c r="K866" s="967"/>
      <c r="L866" s="967"/>
      <c r="M866" s="967"/>
      <c r="N866" s="967"/>
      <c r="O866" s="1007"/>
      <c r="P866" s="1007"/>
      <c r="Q866" s="1008"/>
    </row>
    <row r="867" spans="1:17" hidden="1">
      <c r="A867" s="966"/>
      <c r="B867" s="967"/>
      <c r="C867" s="967">
        <v>831</v>
      </c>
      <c r="D867" s="967"/>
      <c r="E867" s="968"/>
      <c r="F867" s="968"/>
      <c r="G867" s="968"/>
      <c r="H867" s="968"/>
      <c r="I867" s="968"/>
      <c r="J867" s="968"/>
      <c r="K867" s="967"/>
      <c r="L867" s="967"/>
      <c r="M867" s="967"/>
      <c r="N867" s="967"/>
      <c r="O867" s="1007"/>
      <c r="P867" s="1007"/>
      <c r="Q867" s="1008"/>
    </row>
    <row r="868" spans="1:17" hidden="1">
      <c r="A868" s="966"/>
      <c r="B868" s="967"/>
      <c r="C868" s="967">
        <v>832</v>
      </c>
      <c r="D868" s="967"/>
      <c r="E868" s="968"/>
      <c r="F868" s="968"/>
      <c r="G868" s="968"/>
      <c r="H868" s="968"/>
      <c r="I868" s="968"/>
      <c r="J868" s="968"/>
      <c r="K868" s="967"/>
      <c r="L868" s="967"/>
      <c r="M868" s="967"/>
      <c r="N868" s="967"/>
      <c r="O868" s="1007"/>
      <c r="P868" s="1007"/>
      <c r="Q868" s="1008"/>
    </row>
    <row r="869" spans="1:17" hidden="1">
      <c r="A869" s="966"/>
      <c r="B869" s="967"/>
      <c r="C869" s="967">
        <v>833</v>
      </c>
      <c r="D869" s="967"/>
      <c r="E869" s="968"/>
      <c r="F869" s="968"/>
      <c r="G869" s="968"/>
      <c r="H869" s="968"/>
      <c r="I869" s="968"/>
      <c r="J869" s="968"/>
      <c r="K869" s="967"/>
      <c r="L869" s="967"/>
      <c r="M869" s="967"/>
      <c r="N869" s="967"/>
      <c r="O869" s="1007"/>
      <c r="P869" s="1007"/>
      <c r="Q869" s="1008"/>
    </row>
    <row r="870" spans="1:17" hidden="1">
      <c r="A870" s="966"/>
      <c r="B870" s="967"/>
      <c r="C870" s="967">
        <v>834</v>
      </c>
      <c r="D870" s="967"/>
      <c r="E870" s="968"/>
      <c r="F870" s="968"/>
      <c r="G870" s="968"/>
      <c r="H870" s="968"/>
      <c r="I870" s="968"/>
      <c r="J870" s="968"/>
      <c r="K870" s="967"/>
      <c r="L870" s="967"/>
      <c r="M870" s="967"/>
      <c r="N870" s="967"/>
      <c r="O870" s="1007"/>
      <c r="P870" s="1007"/>
      <c r="Q870" s="1008"/>
    </row>
    <row r="871" spans="1:17" hidden="1">
      <c r="A871" s="966"/>
      <c r="B871" s="967"/>
      <c r="C871" s="967">
        <v>835</v>
      </c>
      <c r="D871" s="967"/>
      <c r="E871" s="968"/>
      <c r="F871" s="968"/>
      <c r="G871" s="968"/>
      <c r="H871" s="968"/>
      <c r="I871" s="968"/>
      <c r="J871" s="968"/>
      <c r="K871" s="967"/>
      <c r="L871" s="967"/>
      <c r="M871" s="967"/>
      <c r="N871" s="967"/>
      <c r="O871" s="1007"/>
      <c r="P871" s="1007"/>
      <c r="Q871" s="1008"/>
    </row>
    <row r="872" spans="1:17" hidden="1">
      <c r="A872" s="966"/>
      <c r="B872" s="967"/>
      <c r="C872" s="967">
        <v>836</v>
      </c>
      <c r="D872" s="967"/>
      <c r="E872" s="968"/>
      <c r="F872" s="968"/>
      <c r="G872" s="968"/>
      <c r="H872" s="968"/>
      <c r="I872" s="968"/>
      <c r="J872" s="968"/>
      <c r="K872" s="967"/>
      <c r="L872" s="967"/>
      <c r="M872" s="967"/>
      <c r="N872" s="967"/>
      <c r="O872" s="1007"/>
      <c r="P872" s="1007"/>
      <c r="Q872" s="1008"/>
    </row>
    <row r="873" spans="1:17" hidden="1">
      <c r="A873" s="966"/>
      <c r="B873" s="967"/>
      <c r="C873" s="967">
        <v>837</v>
      </c>
      <c r="D873" s="967"/>
      <c r="E873" s="968"/>
      <c r="F873" s="968"/>
      <c r="G873" s="968"/>
      <c r="H873" s="968"/>
      <c r="I873" s="968"/>
      <c r="J873" s="968"/>
      <c r="K873" s="967"/>
      <c r="L873" s="967"/>
      <c r="M873" s="967"/>
      <c r="N873" s="967"/>
      <c r="O873" s="1007"/>
      <c r="P873" s="1007"/>
      <c r="Q873" s="1008"/>
    </row>
    <row r="874" spans="1:17" hidden="1">
      <c r="A874" s="966"/>
      <c r="B874" s="967"/>
      <c r="C874" s="967">
        <v>838</v>
      </c>
      <c r="D874" s="967"/>
      <c r="E874" s="968"/>
      <c r="F874" s="968"/>
      <c r="G874" s="968"/>
      <c r="H874" s="968"/>
      <c r="I874" s="968"/>
      <c r="J874" s="968"/>
      <c r="K874" s="967"/>
      <c r="L874" s="967"/>
      <c r="M874" s="967"/>
      <c r="N874" s="967"/>
      <c r="O874" s="1007"/>
      <c r="P874" s="1007"/>
      <c r="Q874" s="1008"/>
    </row>
    <row r="875" spans="1:17" hidden="1">
      <c r="A875" s="966"/>
      <c r="B875" s="967"/>
      <c r="C875" s="967">
        <v>839</v>
      </c>
      <c r="D875" s="967"/>
      <c r="E875" s="968"/>
      <c r="F875" s="968"/>
      <c r="G875" s="968"/>
      <c r="H875" s="968"/>
      <c r="I875" s="968"/>
      <c r="J875" s="968"/>
      <c r="K875" s="967"/>
      <c r="L875" s="967"/>
      <c r="M875" s="967"/>
      <c r="N875" s="967"/>
      <c r="O875" s="1007"/>
      <c r="P875" s="1007"/>
      <c r="Q875" s="1008"/>
    </row>
    <row r="876" spans="1:17" hidden="1">
      <c r="A876" s="966"/>
      <c r="B876" s="967"/>
      <c r="C876" s="967">
        <v>840</v>
      </c>
      <c r="D876" s="967"/>
      <c r="E876" s="968"/>
      <c r="F876" s="968"/>
      <c r="G876" s="968"/>
      <c r="H876" s="968"/>
      <c r="I876" s="968"/>
      <c r="J876" s="968"/>
      <c r="K876" s="967"/>
      <c r="L876" s="967"/>
      <c r="M876" s="967"/>
      <c r="N876" s="967"/>
      <c r="O876" s="1007"/>
      <c r="P876" s="1007"/>
      <c r="Q876" s="1008"/>
    </row>
    <row r="877" spans="1:17" hidden="1">
      <c r="A877" s="966"/>
      <c r="B877" s="967"/>
      <c r="C877" s="967">
        <v>841</v>
      </c>
      <c r="D877" s="967"/>
      <c r="E877" s="968"/>
      <c r="F877" s="968"/>
      <c r="G877" s="968"/>
      <c r="H877" s="968"/>
      <c r="I877" s="968"/>
      <c r="J877" s="968"/>
      <c r="K877" s="967"/>
      <c r="L877" s="967"/>
      <c r="M877" s="967"/>
      <c r="N877" s="967"/>
      <c r="O877" s="1007"/>
      <c r="P877" s="1007"/>
      <c r="Q877" s="1008"/>
    </row>
    <row r="878" spans="1:17" hidden="1">
      <c r="A878" s="966"/>
      <c r="B878" s="967"/>
      <c r="C878" s="967">
        <v>842</v>
      </c>
      <c r="D878" s="967"/>
      <c r="E878" s="968"/>
      <c r="F878" s="968"/>
      <c r="G878" s="968"/>
      <c r="H878" s="968"/>
      <c r="I878" s="968"/>
      <c r="J878" s="968"/>
      <c r="K878" s="967"/>
      <c r="L878" s="967"/>
      <c r="M878" s="967"/>
      <c r="N878" s="967"/>
      <c r="O878" s="1007"/>
      <c r="P878" s="1007"/>
      <c r="Q878" s="1008"/>
    </row>
    <row r="879" spans="1:17" hidden="1">
      <c r="A879" s="966"/>
      <c r="B879" s="967"/>
      <c r="C879" s="967">
        <v>843</v>
      </c>
      <c r="D879" s="967"/>
      <c r="E879" s="968"/>
      <c r="F879" s="968"/>
      <c r="G879" s="968"/>
      <c r="H879" s="968"/>
      <c r="I879" s="968"/>
      <c r="J879" s="968"/>
      <c r="K879" s="967"/>
      <c r="L879" s="967"/>
      <c r="M879" s="967"/>
      <c r="N879" s="967"/>
      <c r="O879" s="1007"/>
      <c r="P879" s="1007"/>
      <c r="Q879" s="1008"/>
    </row>
    <row r="880" spans="1:17" hidden="1">
      <c r="A880" s="966"/>
      <c r="B880" s="967"/>
      <c r="C880" s="967">
        <v>844</v>
      </c>
      <c r="D880" s="967"/>
      <c r="E880" s="968"/>
      <c r="F880" s="968"/>
      <c r="G880" s="968"/>
      <c r="H880" s="968"/>
      <c r="I880" s="968"/>
      <c r="J880" s="968"/>
      <c r="K880" s="967"/>
      <c r="L880" s="967"/>
      <c r="M880" s="967"/>
      <c r="N880" s="967"/>
      <c r="O880" s="1007"/>
      <c r="P880" s="1007"/>
      <c r="Q880" s="1008"/>
    </row>
    <row r="881" spans="1:17" hidden="1">
      <c r="A881" s="966"/>
      <c r="B881" s="967"/>
      <c r="C881" s="967">
        <v>845</v>
      </c>
      <c r="D881" s="967"/>
      <c r="E881" s="968"/>
      <c r="F881" s="968"/>
      <c r="G881" s="968"/>
      <c r="H881" s="968"/>
      <c r="I881" s="968"/>
      <c r="J881" s="968"/>
      <c r="K881" s="967"/>
      <c r="L881" s="967"/>
      <c r="M881" s="967"/>
      <c r="N881" s="967"/>
      <c r="O881" s="1007"/>
      <c r="P881" s="1007"/>
      <c r="Q881" s="1008"/>
    </row>
    <row r="882" spans="1:17" hidden="1">
      <c r="A882" s="966"/>
      <c r="B882" s="967"/>
      <c r="C882" s="967">
        <v>846</v>
      </c>
      <c r="D882" s="967"/>
      <c r="E882" s="968"/>
      <c r="F882" s="968"/>
      <c r="G882" s="968"/>
      <c r="H882" s="968"/>
      <c r="I882" s="968"/>
      <c r="J882" s="968"/>
      <c r="K882" s="967"/>
      <c r="L882" s="967"/>
      <c r="M882" s="967"/>
      <c r="N882" s="967"/>
      <c r="O882" s="1007"/>
      <c r="P882" s="1007"/>
      <c r="Q882" s="1008"/>
    </row>
    <row r="883" spans="1:17" hidden="1">
      <c r="A883" s="966"/>
      <c r="B883" s="967"/>
      <c r="C883" s="967">
        <v>847</v>
      </c>
      <c r="D883" s="967"/>
      <c r="E883" s="968"/>
      <c r="F883" s="968"/>
      <c r="G883" s="968"/>
      <c r="H883" s="968"/>
      <c r="I883" s="968"/>
      <c r="J883" s="968"/>
      <c r="K883" s="967"/>
      <c r="L883" s="967"/>
      <c r="M883" s="967"/>
      <c r="N883" s="967"/>
      <c r="O883" s="1007"/>
      <c r="P883" s="1007"/>
      <c r="Q883" s="1008"/>
    </row>
    <row r="884" spans="1:17" hidden="1">
      <c r="A884" s="966"/>
      <c r="B884" s="967"/>
      <c r="C884" s="967">
        <v>848</v>
      </c>
      <c r="D884" s="967"/>
      <c r="E884" s="968"/>
      <c r="F884" s="968"/>
      <c r="G884" s="968"/>
      <c r="H884" s="968"/>
      <c r="I884" s="968"/>
      <c r="J884" s="968"/>
      <c r="K884" s="967"/>
      <c r="L884" s="967"/>
      <c r="M884" s="967"/>
      <c r="N884" s="967"/>
      <c r="O884" s="1007"/>
      <c r="P884" s="1007"/>
      <c r="Q884" s="1008"/>
    </row>
    <row r="885" spans="1:17" hidden="1">
      <c r="A885" s="966"/>
      <c r="B885" s="967"/>
      <c r="C885" s="967">
        <v>849</v>
      </c>
      <c r="D885" s="967"/>
      <c r="E885" s="968"/>
      <c r="F885" s="968"/>
      <c r="G885" s="968"/>
      <c r="H885" s="968"/>
      <c r="I885" s="968"/>
      <c r="J885" s="968"/>
      <c r="K885" s="967"/>
      <c r="L885" s="967"/>
      <c r="M885" s="967"/>
      <c r="N885" s="967"/>
      <c r="O885" s="1007"/>
      <c r="P885" s="1007"/>
      <c r="Q885" s="1008"/>
    </row>
    <row r="886" spans="1:17" hidden="1">
      <c r="A886" s="966"/>
      <c r="B886" s="967"/>
      <c r="C886" s="967">
        <v>850</v>
      </c>
      <c r="D886" s="967"/>
      <c r="E886" s="968"/>
      <c r="F886" s="968"/>
      <c r="G886" s="968"/>
      <c r="H886" s="968"/>
      <c r="I886" s="968"/>
      <c r="J886" s="968"/>
      <c r="K886" s="967"/>
      <c r="L886" s="967"/>
      <c r="M886" s="967"/>
      <c r="N886" s="967"/>
      <c r="O886" s="1007"/>
      <c r="P886" s="1007"/>
      <c r="Q886" s="1008"/>
    </row>
    <row r="887" spans="1:17" hidden="1">
      <c r="A887" s="966"/>
      <c r="B887" s="967"/>
      <c r="C887" s="967">
        <v>851</v>
      </c>
      <c r="D887" s="967"/>
      <c r="E887" s="968"/>
      <c r="F887" s="968"/>
      <c r="G887" s="968"/>
      <c r="H887" s="968"/>
      <c r="I887" s="968"/>
      <c r="J887" s="968"/>
      <c r="K887" s="967"/>
      <c r="L887" s="967"/>
      <c r="M887" s="967"/>
      <c r="N887" s="967"/>
      <c r="O887" s="1007"/>
      <c r="P887" s="1007"/>
      <c r="Q887" s="1008"/>
    </row>
    <row r="888" spans="1:17" hidden="1">
      <c r="A888" s="966"/>
      <c r="B888" s="967"/>
      <c r="C888" s="967">
        <v>852</v>
      </c>
      <c r="D888" s="967"/>
      <c r="E888" s="968"/>
      <c r="F888" s="968"/>
      <c r="G888" s="968"/>
      <c r="H888" s="968"/>
      <c r="I888" s="968"/>
      <c r="J888" s="968"/>
      <c r="K888" s="967"/>
      <c r="L888" s="967"/>
      <c r="M888" s="967"/>
      <c r="N888" s="967"/>
      <c r="O888" s="1007"/>
      <c r="P888" s="1007"/>
      <c r="Q888" s="1008"/>
    </row>
    <row r="889" spans="1:17" hidden="1">
      <c r="A889" s="966"/>
      <c r="B889" s="967"/>
      <c r="C889" s="967">
        <v>853</v>
      </c>
      <c r="D889" s="967"/>
      <c r="E889" s="968"/>
      <c r="F889" s="968"/>
      <c r="G889" s="968"/>
      <c r="H889" s="968"/>
      <c r="I889" s="968"/>
      <c r="J889" s="968"/>
      <c r="K889" s="967"/>
      <c r="L889" s="967"/>
      <c r="M889" s="967"/>
      <c r="N889" s="967"/>
      <c r="O889" s="1007"/>
      <c r="P889" s="1007"/>
      <c r="Q889" s="1008"/>
    </row>
    <row r="890" spans="1:17" hidden="1">
      <c r="A890" s="966"/>
      <c r="B890" s="967"/>
      <c r="C890" s="967">
        <v>854</v>
      </c>
      <c r="D890" s="967"/>
      <c r="E890" s="968"/>
      <c r="F890" s="968"/>
      <c r="G890" s="968"/>
      <c r="H890" s="968"/>
      <c r="I890" s="968"/>
      <c r="J890" s="968"/>
      <c r="K890" s="967"/>
      <c r="L890" s="967"/>
      <c r="M890" s="967"/>
      <c r="N890" s="967"/>
      <c r="O890" s="1007"/>
      <c r="P890" s="1007"/>
      <c r="Q890" s="1008"/>
    </row>
    <row r="891" spans="1:17" hidden="1">
      <c r="A891" s="966"/>
      <c r="B891" s="967"/>
      <c r="C891" s="967">
        <v>855</v>
      </c>
      <c r="D891" s="967"/>
      <c r="E891" s="968"/>
      <c r="F891" s="968"/>
      <c r="G891" s="968"/>
      <c r="H891" s="968"/>
      <c r="I891" s="968"/>
      <c r="J891" s="968"/>
      <c r="K891" s="967"/>
      <c r="L891" s="967"/>
      <c r="M891" s="967"/>
      <c r="N891" s="967"/>
      <c r="O891" s="1007"/>
      <c r="P891" s="1007"/>
      <c r="Q891" s="1008"/>
    </row>
    <row r="892" spans="1:17" hidden="1">
      <c r="A892" s="966"/>
      <c r="B892" s="967"/>
      <c r="C892" s="967">
        <v>856</v>
      </c>
      <c r="D892" s="967"/>
      <c r="E892" s="968"/>
      <c r="F892" s="968"/>
      <c r="G892" s="968"/>
      <c r="H892" s="968"/>
      <c r="I892" s="968"/>
      <c r="J892" s="968"/>
      <c r="K892" s="967"/>
      <c r="L892" s="967"/>
      <c r="M892" s="967"/>
      <c r="N892" s="967"/>
      <c r="O892" s="1007"/>
      <c r="P892" s="1007"/>
      <c r="Q892" s="1008"/>
    </row>
    <row r="893" spans="1:17" hidden="1">
      <c r="A893" s="966"/>
      <c r="B893" s="967"/>
      <c r="C893" s="967">
        <v>857</v>
      </c>
      <c r="D893" s="967"/>
      <c r="E893" s="968"/>
      <c r="F893" s="968"/>
      <c r="G893" s="968"/>
      <c r="H893" s="968"/>
      <c r="I893" s="968"/>
      <c r="J893" s="968"/>
      <c r="K893" s="967"/>
      <c r="L893" s="967"/>
      <c r="M893" s="967"/>
      <c r="N893" s="967"/>
      <c r="O893" s="1007"/>
      <c r="P893" s="1007"/>
      <c r="Q893" s="1008"/>
    </row>
    <row r="894" spans="1:17" hidden="1">
      <c r="A894" s="966"/>
      <c r="B894" s="967"/>
      <c r="C894" s="967">
        <v>858</v>
      </c>
      <c r="D894" s="967"/>
      <c r="E894" s="968"/>
      <c r="F894" s="968"/>
      <c r="G894" s="968"/>
      <c r="H894" s="968"/>
      <c r="I894" s="968"/>
      <c r="J894" s="968"/>
      <c r="K894" s="967"/>
      <c r="L894" s="967"/>
      <c r="M894" s="967"/>
      <c r="N894" s="967"/>
      <c r="O894" s="1007"/>
      <c r="P894" s="1007"/>
      <c r="Q894" s="1008"/>
    </row>
    <row r="895" spans="1:17" hidden="1">
      <c r="A895" s="966"/>
      <c r="B895" s="967"/>
      <c r="C895" s="967">
        <v>859</v>
      </c>
      <c r="D895" s="967"/>
      <c r="E895" s="968"/>
      <c r="F895" s="968"/>
      <c r="G895" s="968"/>
      <c r="H895" s="968"/>
      <c r="I895" s="968"/>
      <c r="J895" s="968"/>
      <c r="K895" s="967"/>
      <c r="L895" s="967"/>
      <c r="M895" s="967"/>
      <c r="N895" s="967"/>
      <c r="O895" s="1007"/>
      <c r="P895" s="1007"/>
      <c r="Q895" s="1008"/>
    </row>
    <row r="896" spans="1:17" hidden="1">
      <c r="A896" s="966"/>
      <c r="B896" s="967"/>
      <c r="C896" s="967">
        <v>860</v>
      </c>
      <c r="D896" s="967"/>
      <c r="E896" s="968"/>
      <c r="F896" s="968"/>
      <c r="G896" s="968"/>
      <c r="H896" s="968"/>
      <c r="I896" s="968"/>
      <c r="J896" s="968"/>
      <c r="K896" s="967"/>
      <c r="L896" s="967"/>
      <c r="M896" s="967"/>
      <c r="N896" s="967"/>
      <c r="O896" s="1007"/>
      <c r="P896" s="1007"/>
      <c r="Q896" s="1008"/>
    </row>
    <row r="897" spans="1:17" hidden="1">
      <c r="A897" s="966"/>
      <c r="B897" s="967"/>
      <c r="C897" s="967">
        <v>861</v>
      </c>
      <c r="D897" s="967"/>
      <c r="E897" s="968"/>
      <c r="F897" s="968"/>
      <c r="G897" s="968"/>
      <c r="H897" s="968"/>
      <c r="I897" s="968"/>
      <c r="J897" s="968"/>
      <c r="K897" s="967"/>
      <c r="L897" s="967"/>
      <c r="M897" s="967"/>
      <c r="N897" s="967"/>
      <c r="O897" s="1007"/>
      <c r="P897" s="1007"/>
      <c r="Q897" s="1008"/>
    </row>
    <row r="898" spans="1:17" hidden="1">
      <c r="A898" s="966"/>
      <c r="B898" s="967"/>
      <c r="C898" s="967">
        <v>862</v>
      </c>
      <c r="D898" s="967"/>
      <c r="E898" s="968"/>
      <c r="F898" s="968"/>
      <c r="G898" s="968"/>
      <c r="H898" s="968"/>
      <c r="I898" s="968"/>
      <c r="J898" s="968"/>
      <c r="K898" s="967"/>
      <c r="L898" s="967"/>
      <c r="M898" s="967"/>
      <c r="N898" s="967"/>
      <c r="O898" s="1007"/>
      <c r="P898" s="1007"/>
      <c r="Q898" s="1008"/>
    </row>
    <row r="899" spans="1:17" hidden="1">
      <c r="A899" s="966"/>
      <c r="B899" s="967"/>
      <c r="C899" s="967">
        <v>863</v>
      </c>
      <c r="D899" s="967"/>
      <c r="E899" s="968"/>
      <c r="F899" s="968"/>
      <c r="G899" s="968"/>
      <c r="H899" s="968"/>
      <c r="I899" s="968"/>
      <c r="J899" s="968"/>
      <c r="K899" s="967"/>
      <c r="L899" s="967"/>
      <c r="M899" s="967"/>
      <c r="N899" s="967"/>
      <c r="O899" s="1007"/>
      <c r="P899" s="1007"/>
      <c r="Q899" s="1008"/>
    </row>
    <row r="900" spans="1:17" hidden="1">
      <c r="A900" s="966"/>
      <c r="B900" s="967"/>
      <c r="C900" s="967">
        <v>864</v>
      </c>
      <c r="D900" s="967"/>
      <c r="E900" s="968"/>
      <c r="F900" s="968"/>
      <c r="G900" s="968"/>
      <c r="H900" s="968"/>
      <c r="I900" s="968"/>
      <c r="J900" s="968"/>
      <c r="K900" s="967"/>
      <c r="L900" s="967"/>
      <c r="M900" s="967"/>
      <c r="N900" s="967"/>
      <c r="O900" s="1007"/>
      <c r="P900" s="1007"/>
      <c r="Q900" s="1008"/>
    </row>
    <row r="901" spans="1:17" hidden="1">
      <c r="A901" s="966"/>
      <c r="B901" s="967"/>
      <c r="C901" s="967">
        <v>865</v>
      </c>
      <c r="D901" s="967"/>
      <c r="E901" s="968"/>
      <c r="F901" s="968"/>
      <c r="G901" s="968"/>
      <c r="H901" s="968"/>
      <c r="I901" s="968"/>
      <c r="J901" s="968"/>
      <c r="K901" s="967"/>
      <c r="L901" s="967"/>
      <c r="M901" s="967"/>
      <c r="N901" s="967"/>
      <c r="O901" s="1007"/>
      <c r="P901" s="1007"/>
      <c r="Q901" s="1008"/>
    </row>
    <row r="902" spans="1:17" hidden="1">
      <c r="A902" s="966"/>
      <c r="B902" s="967"/>
      <c r="C902" s="967">
        <v>866</v>
      </c>
      <c r="D902" s="967"/>
      <c r="E902" s="968"/>
      <c r="F902" s="968"/>
      <c r="G902" s="968"/>
      <c r="H902" s="968"/>
      <c r="I902" s="968"/>
      <c r="J902" s="968"/>
      <c r="K902" s="967"/>
      <c r="L902" s="967"/>
      <c r="M902" s="967"/>
      <c r="N902" s="967"/>
      <c r="O902" s="1007"/>
      <c r="P902" s="1007"/>
      <c r="Q902" s="1008"/>
    </row>
    <row r="903" spans="1:17" hidden="1">
      <c r="A903" s="966"/>
      <c r="B903" s="967"/>
      <c r="C903" s="967">
        <v>867</v>
      </c>
      <c r="D903" s="967"/>
      <c r="E903" s="968"/>
      <c r="F903" s="968"/>
      <c r="G903" s="968"/>
      <c r="H903" s="968"/>
      <c r="I903" s="968"/>
      <c r="J903" s="968"/>
      <c r="K903" s="967"/>
      <c r="L903" s="967"/>
      <c r="M903" s="967"/>
      <c r="N903" s="967"/>
      <c r="O903" s="1007"/>
      <c r="P903" s="1007"/>
      <c r="Q903" s="1008"/>
    </row>
    <row r="904" spans="1:17" hidden="1">
      <c r="A904" s="966"/>
      <c r="B904" s="967"/>
      <c r="C904" s="967">
        <v>868</v>
      </c>
      <c r="D904" s="967"/>
      <c r="E904" s="968"/>
      <c r="F904" s="968"/>
      <c r="G904" s="968"/>
      <c r="H904" s="968"/>
      <c r="I904" s="968"/>
      <c r="J904" s="968"/>
      <c r="K904" s="967"/>
      <c r="L904" s="967"/>
      <c r="M904" s="967"/>
      <c r="N904" s="967"/>
      <c r="O904" s="1007"/>
      <c r="P904" s="1007"/>
      <c r="Q904" s="1008"/>
    </row>
    <row r="905" spans="1:17" hidden="1">
      <c r="A905" s="966"/>
      <c r="B905" s="967"/>
      <c r="C905" s="967">
        <v>869</v>
      </c>
      <c r="D905" s="967"/>
      <c r="E905" s="968"/>
      <c r="F905" s="968"/>
      <c r="G905" s="968"/>
      <c r="H905" s="968"/>
      <c r="I905" s="968"/>
      <c r="J905" s="968"/>
      <c r="K905" s="967"/>
      <c r="L905" s="967"/>
      <c r="M905" s="967"/>
      <c r="N905" s="967"/>
      <c r="O905" s="1007"/>
      <c r="P905" s="1007"/>
      <c r="Q905" s="1008"/>
    </row>
    <row r="906" spans="1:17" hidden="1">
      <c r="A906" s="966"/>
      <c r="B906" s="967"/>
      <c r="C906" s="967">
        <v>870</v>
      </c>
      <c r="D906" s="967"/>
      <c r="E906" s="968"/>
      <c r="F906" s="968"/>
      <c r="G906" s="968"/>
      <c r="H906" s="968"/>
      <c r="I906" s="968"/>
      <c r="J906" s="968"/>
      <c r="K906" s="967"/>
      <c r="L906" s="967"/>
      <c r="M906" s="967"/>
      <c r="N906" s="967"/>
      <c r="O906" s="1007"/>
      <c r="P906" s="1007"/>
      <c r="Q906" s="1008"/>
    </row>
    <row r="907" spans="1:17" hidden="1">
      <c r="A907" s="966"/>
      <c r="B907" s="967"/>
      <c r="C907" s="967">
        <v>871</v>
      </c>
      <c r="D907" s="967"/>
      <c r="E907" s="968"/>
      <c r="F907" s="968"/>
      <c r="G907" s="968"/>
      <c r="H907" s="968"/>
      <c r="I907" s="968"/>
      <c r="J907" s="968"/>
      <c r="K907" s="967"/>
      <c r="L907" s="967"/>
      <c r="M907" s="967"/>
      <c r="N907" s="967"/>
      <c r="O907" s="1007"/>
      <c r="P907" s="1007"/>
      <c r="Q907" s="1008"/>
    </row>
    <row r="908" spans="1:17" hidden="1">
      <c r="A908" s="966"/>
      <c r="B908" s="967"/>
      <c r="C908" s="967">
        <v>872</v>
      </c>
      <c r="D908" s="967"/>
      <c r="E908" s="968"/>
      <c r="F908" s="968"/>
      <c r="G908" s="968"/>
      <c r="H908" s="968"/>
      <c r="I908" s="968"/>
      <c r="J908" s="968"/>
      <c r="K908" s="967"/>
      <c r="L908" s="967"/>
      <c r="M908" s="967"/>
      <c r="N908" s="967"/>
      <c r="O908" s="1007"/>
      <c r="P908" s="1007"/>
      <c r="Q908" s="1008"/>
    </row>
    <row r="909" spans="1:17" hidden="1">
      <c r="A909" s="966"/>
      <c r="B909" s="967"/>
      <c r="C909" s="967">
        <v>873</v>
      </c>
      <c r="D909" s="967"/>
      <c r="E909" s="968"/>
      <c r="F909" s="968"/>
      <c r="G909" s="968"/>
      <c r="H909" s="968"/>
      <c r="I909" s="968"/>
      <c r="J909" s="968"/>
      <c r="K909" s="967"/>
      <c r="L909" s="967"/>
      <c r="M909" s="967"/>
      <c r="N909" s="967"/>
      <c r="O909" s="1007"/>
      <c r="P909" s="1007"/>
      <c r="Q909" s="1008"/>
    </row>
    <row r="910" spans="1:17" hidden="1">
      <c r="A910" s="966"/>
      <c r="B910" s="967"/>
      <c r="C910" s="967">
        <v>874</v>
      </c>
      <c r="D910" s="967"/>
      <c r="E910" s="968"/>
      <c r="F910" s="968"/>
      <c r="G910" s="968"/>
      <c r="H910" s="968"/>
      <c r="I910" s="968"/>
      <c r="J910" s="968"/>
      <c r="K910" s="967"/>
      <c r="L910" s="967"/>
      <c r="M910" s="967"/>
      <c r="N910" s="967"/>
      <c r="O910" s="1007"/>
      <c r="P910" s="1007"/>
      <c r="Q910" s="1008"/>
    </row>
    <row r="911" spans="1:17" hidden="1">
      <c r="A911" s="966"/>
      <c r="B911" s="967"/>
      <c r="C911" s="967">
        <v>875</v>
      </c>
      <c r="D911" s="967"/>
      <c r="E911" s="968"/>
      <c r="F911" s="968"/>
      <c r="G911" s="968"/>
      <c r="H911" s="968"/>
      <c r="I911" s="968"/>
      <c r="J911" s="968"/>
      <c r="K911" s="967"/>
      <c r="L911" s="967"/>
      <c r="M911" s="967"/>
      <c r="N911" s="967"/>
      <c r="O911" s="1007"/>
      <c r="P911" s="1007"/>
      <c r="Q911" s="1008"/>
    </row>
    <row r="912" spans="1:17" hidden="1">
      <c r="A912" s="966"/>
      <c r="B912" s="967"/>
      <c r="C912" s="967">
        <v>876</v>
      </c>
      <c r="D912" s="967"/>
      <c r="E912" s="968"/>
      <c r="F912" s="968"/>
      <c r="G912" s="968"/>
      <c r="H912" s="968"/>
      <c r="I912" s="968"/>
      <c r="J912" s="968"/>
      <c r="K912" s="967"/>
      <c r="L912" s="967"/>
      <c r="M912" s="967"/>
      <c r="N912" s="967"/>
      <c r="O912" s="1007"/>
      <c r="P912" s="1007"/>
      <c r="Q912" s="1008"/>
    </row>
    <row r="913" spans="1:17" hidden="1">
      <c r="A913" s="966"/>
      <c r="B913" s="967"/>
      <c r="C913" s="967">
        <v>877</v>
      </c>
      <c r="D913" s="967"/>
      <c r="E913" s="968"/>
      <c r="F913" s="968"/>
      <c r="G913" s="968"/>
      <c r="H913" s="968"/>
      <c r="I913" s="968"/>
      <c r="J913" s="968"/>
      <c r="K913" s="967"/>
      <c r="L913" s="967"/>
      <c r="M913" s="967"/>
      <c r="N913" s="967"/>
      <c r="O913" s="1007"/>
      <c r="P913" s="1007"/>
      <c r="Q913" s="1008"/>
    </row>
    <row r="914" spans="1:17" hidden="1">
      <c r="A914" s="966"/>
      <c r="B914" s="967"/>
      <c r="C914" s="967">
        <v>878</v>
      </c>
      <c r="D914" s="967"/>
      <c r="E914" s="968"/>
      <c r="F914" s="968"/>
      <c r="G914" s="968"/>
      <c r="H914" s="968"/>
      <c r="I914" s="968"/>
      <c r="J914" s="968"/>
      <c r="K914" s="967"/>
      <c r="L914" s="967"/>
      <c r="M914" s="967"/>
      <c r="N914" s="967"/>
      <c r="O914" s="1007"/>
      <c r="P914" s="1007"/>
      <c r="Q914" s="1008"/>
    </row>
    <row r="915" spans="1:17" hidden="1">
      <c r="A915" s="966"/>
      <c r="B915" s="967"/>
      <c r="C915" s="967">
        <v>879</v>
      </c>
      <c r="D915" s="967"/>
      <c r="E915" s="968"/>
      <c r="F915" s="968"/>
      <c r="G915" s="968"/>
      <c r="H915" s="968"/>
      <c r="I915" s="968"/>
      <c r="J915" s="968"/>
      <c r="K915" s="967"/>
      <c r="L915" s="967"/>
      <c r="M915" s="967"/>
      <c r="N915" s="967"/>
      <c r="O915" s="1007"/>
      <c r="P915" s="1007"/>
      <c r="Q915" s="1008"/>
    </row>
    <row r="916" spans="1:17" hidden="1">
      <c r="A916" s="966"/>
      <c r="B916" s="967"/>
      <c r="C916" s="967">
        <v>880</v>
      </c>
      <c r="D916" s="967"/>
      <c r="E916" s="968"/>
      <c r="F916" s="968"/>
      <c r="G916" s="968"/>
      <c r="H916" s="968"/>
      <c r="I916" s="968"/>
      <c r="J916" s="968"/>
      <c r="K916" s="967"/>
      <c r="L916" s="967"/>
      <c r="M916" s="967"/>
      <c r="N916" s="967"/>
      <c r="O916" s="1007"/>
      <c r="P916" s="1007"/>
      <c r="Q916" s="1008"/>
    </row>
    <row r="917" spans="1:17" hidden="1">
      <c r="A917" s="966"/>
      <c r="B917" s="967"/>
      <c r="C917" s="967">
        <v>881</v>
      </c>
      <c r="D917" s="967"/>
      <c r="E917" s="968"/>
      <c r="F917" s="968"/>
      <c r="G917" s="968"/>
      <c r="H917" s="968"/>
      <c r="I917" s="968"/>
      <c r="J917" s="968"/>
      <c r="K917" s="967"/>
      <c r="L917" s="967"/>
      <c r="M917" s="967"/>
      <c r="N917" s="967"/>
      <c r="O917" s="1007"/>
      <c r="P917" s="1007"/>
      <c r="Q917" s="1008"/>
    </row>
    <row r="918" spans="1:17" hidden="1">
      <c r="A918" s="966"/>
      <c r="B918" s="967"/>
      <c r="C918" s="967">
        <v>882</v>
      </c>
      <c r="D918" s="967"/>
      <c r="E918" s="968"/>
      <c r="F918" s="968"/>
      <c r="G918" s="968"/>
      <c r="H918" s="968"/>
      <c r="I918" s="968"/>
      <c r="J918" s="968"/>
      <c r="K918" s="967"/>
      <c r="L918" s="967"/>
      <c r="M918" s="967"/>
      <c r="N918" s="967"/>
      <c r="O918" s="1007"/>
      <c r="P918" s="1007"/>
      <c r="Q918" s="1008"/>
    </row>
    <row r="919" spans="1:17" hidden="1">
      <c r="A919" s="966"/>
      <c r="B919" s="967"/>
      <c r="C919" s="967">
        <v>883</v>
      </c>
      <c r="D919" s="967"/>
      <c r="E919" s="968"/>
      <c r="F919" s="968"/>
      <c r="G919" s="968"/>
      <c r="H919" s="968"/>
      <c r="I919" s="968"/>
      <c r="J919" s="968"/>
      <c r="K919" s="967"/>
      <c r="L919" s="967"/>
      <c r="M919" s="967"/>
      <c r="N919" s="967"/>
      <c r="O919" s="1007"/>
      <c r="P919" s="1007"/>
      <c r="Q919" s="1008"/>
    </row>
    <row r="920" spans="1:17" hidden="1">
      <c r="A920" s="966"/>
      <c r="B920" s="967"/>
      <c r="C920" s="967">
        <v>884</v>
      </c>
      <c r="D920" s="967"/>
      <c r="E920" s="968"/>
      <c r="F920" s="968"/>
      <c r="G920" s="968"/>
      <c r="H920" s="968"/>
      <c r="I920" s="968"/>
      <c r="J920" s="968"/>
      <c r="K920" s="967"/>
      <c r="L920" s="967"/>
      <c r="M920" s="967"/>
      <c r="N920" s="967"/>
      <c r="O920" s="1007"/>
      <c r="P920" s="1007"/>
      <c r="Q920" s="1008"/>
    </row>
    <row r="921" spans="1:17" hidden="1">
      <c r="A921" s="966"/>
      <c r="B921" s="967"/>
      <c r="C921" s="967">
        <v>885</v>
      </c>
      <c r="D921" s="967"/>
      <c r="E921" s="968"/>
      <c r="F921" s="968"/>
      <c r="G921" s="968"/>
      <c r="H921" s="968"/>
      <c r="I921" s="968"/>
      <c r="J921" s="968"/>
      <c r="K921" s="967"/>
      <c r="L921" s="967"/>
      <c r="M921" s="967"/>
      <c r="N921" s="967"/>
      <c r="O921" s="1007"/>
      <c r="P921" s="1007"/>
      <c r="Q921" s="1008"/>
    </row>
    <row r="922" spans="1:17" hidden="1">
      <c r="A922" s="966"/>
      <c r="B922" s="967"/>
      <c r="C922" s="967">
        <v>886</v>
      </c>
      <c r="D922" s="967"/>
      <c r="E922" s="968"/>
      <c r="F922" s="968"/>
      <c r="G922" s="968"/>
      <c r="H922" s="968"/>
      <c r="I922" s="968"/>
      <c r="J922" s="968"/>
      <c r="K922" s="967"/>
      <c r="L922" s="967"/>
      <c r="M922" s="967"/>
      <c r="N922" s="967"/>
      <c r="O922" s="1007"/>
      <c r="P922" s="1007"/>
      <c r="Q922" s="1008"/>
    </row>
    <row r="923" spans="1:17" hidden="1">
      <c r="A923" s="966"/>
      <c r="B923" s="967"/>
      <c r="C923" s="967">
        <v>887</v>
      </c>
      <c r="D923" s="967"/>
      <c r="E923" s="968"/>
      <c r="F923" s="968"/>
      <c r="G923" s="968"/>
      <c r="H923" s="968"/>
      <c r="I923" s="968"/>
      <c r="J923" s="968"/>
      <c r="K923" s="967"/>
      <c r="L923" s="967"/>
      <c r="M923" s="967"/>
      <c r="N923" s="967"/>
      <c r="O923" s="1007"/>
      <c r="P923" s="1007"/>
      <c r="Q923" s="1008"/>
    </row>
    <row r="924" spans="1:17" hidden="1">
      <c r="A924" s="966"/>
      <c r="B924" s="967"/>
      <c r="C924" s="967">
        <v>888</v>
      </c>
      <c r="D924" s="967"/>
      <c r="E924" s="968"/>
      <c r="F924" s="968"/>
      <c r="G924" s="968"/>
      <c r="H924" s="968"/>
      <c r="I924" s="968"/>
      <c r="J924" s="968"/>
      <c r="K924" s="967"/>
      <c r="L924" s="967"/>
      <c r="M924" s="967"/>
      <c r="N924" s="967"/>
      <c r="O924" s="1007"/>
      <c r="P924" s="1007"/>
      <c r="Q924" s="1008"/>
    </row>
    <row r="925" spans="1:17" hidden="1">
      <c r="A925" s="966"/>
      <c r="B925" s="967"/>
      <c r="C925" s="967">
        <v>889</v>
      </c>
      <c r="D925" s="967"/>
      <c r="E925" s="968"/>
      <c r="F925" s="968"/>
      <c r="G925" s="968"/>
      <c r="H925" s="968"/>
      <c r="I925" s="968"/>
      <c r="J925" s="968"/>
      <c r="K925" s="967"/>
      <c r="L925" s="967"/>
      <c r="M925" s="967"/>
      <c r="N925" s="967"/>
      <c r="O925" s="1007"/>
      <c r="P925" s="1007"/>
      <c r="Q925" s="1008"/>
    </row>
    <row r="926" spans="1:17" hidden="1">
      <c r="A926" s="966"/>
      <c r="B926" s="967"/>
      <c r="C926" s="967">
        <v>890</v>
      </c>
      <c r="D926" s="967"/>
      <c r="E926" s="968"/>
      <c r="F926" s="968"/>
      <c r="G926" s="968"/>
      <c r="H926" s="968"/>
      <c r="I926" s="968"/>
      <c r="J926" s="968"/>
      <c r="K926" s="967"/>
      <c r="L926" s="967"/>
      <c r="M926" s="967"/>
      <c r="N926" s="967"/>
      <c r="O926" s="1007"/>
      <c r="P926" s="1007"/>
      <c r="Q926" s="1008"/>
    </row>
    <row r="927" spans="1:17" hidden="1">
      <c r="A927" s="966"/>
      <c r="B927" s="967"/>
      <c r="C927" s="967">
        <v>891</v>
      </c>
      <c r="D927" s="967"/>
      <c r="E927" s="968"/>
      <c r="F927" s="968"/>
      <c r="G927" s="968"/>
      <c r="H927" s="968"/>
      <c r="I927" s="968"/>
      <c r="J927" s="968"/>
      <c r="K927" s="967"/>
      <c r="L927" s="967"/>
      <c r="M927" s="967"/>
      <c r="N927" s="967"/>
      <c r="O927" s="1007"/>
      <c r="P927" s="1007"/>
      <c r="Q927" s="1008"/>
    </row>
    <row r="928" spans="1:17" hidden="1">
      <c r="A928" s="966"/>
      <c r="B928" s="967"/>
      <c r="C928" s="967">
        <v>892</v>
      </c>
      <c r="D928" s="967"/>
      <c r="E928" s="968"/>
      <c r="F928" s="968"/>
      <c r="G928" s="968"/>
      <c r="H928" s="968"/>
      <c r="I928" s="968"/>
      <c r="J928" s="968"/>
      <c r="K928" s="967"/>
      <c r="L928" s="967"/>
      <c r="M928" s="967"/>
      <c r="N928" s="967"/>
      <c r="O928" s="1007"/>
      <c r="P928" s="1007"/>
      <c r="Q928" s="1008"/>
    </row>
    <row r="929" spans="1:17" hidden="1">
      <c r="A929" s="966"/>
      <c r="B929" s="967"/>
      <c r="C929" s="967">
        <v>893</v>
      </c>
      <c r="D929" s="967"/>
      <c r="E929" s="968"/>
      <c r="F929" s="968"/>
      <c r="G929" s="968"/>
      <c r="H929" s="968"/>
      <c r="I929" s="968"/>
      <c r="J929" s="968"/>
      <c r="K929" s="967"/>
      <c r="L929" s="967"/>
      <c r="M929" s="967"/>
      <c r="N929" s="967"/>
      <c r="O929" s="1007"/>
      <c r="P929" s="1007"/>
      <c r="Q929" s="1008"/>
    </row>
    <row r="930" spans="1:17" hidden="1">
      <c r="A930" s="966"/>
      <c r="B930" s="967"/>
      <c r="C930" s="967">
        <v>894</v>
      </c>
      <c r="D930" s="967"/>
      <c r="E930" s="968"/>
      <c r="F930" s="968"/>
      <c r="G930" s="968"/>
      <c r="H930" s="968"/>
      <c r="I930" s="968"/>
      <c r="J930" s="968"/>
      <c r="K930" s="967"/>
      <c r="L930" s="967"/>
      <c r="M930" s="967"/>
      <c r="N930" s="967"/>
      <c r="O930" s="1007"/>
      <c r="P930" s="1007"/>
      <c r="Q930" s="1008"/>
    </row>
    <row r="931" spans="1:17" hidden="1">
      <c r="A931" s="966"/>
      <c r="B931" s="967"/>
      <c r="C931" s="967">
        <v>895</v>
      </c>
      <c r="D931" s="967"/>
      <c r="E931" s="968"/>
      <c r="F931" s="968"/>
      <c r="G931" s="968"/>
      <c r="H931" s="968"/>
      <c r="I931" s="968"/>
      <c r="J931" s="968"/>
      <c r="K931" s="967"/>
      <c r="L931" s="967"/>
      <c r="M931" s="967"/>
      <c r="N931" s="967"/>
      <c r="O931" s="1007"/>
      <c r="P931" s="1007"/>
      <c r="Q931" s="1008"/>
    </row>
    <row r="932" spans="1:17" hidden="1">
      <c r="A932" s="966"/>
      <c r="B932" s="967"/>
      <c r="C932" s="967">
        <v>896</v>
      </c>
      <c r="D932" s="967"/>
      <c r="E932" s="968"/>
      <c r="F932" s="968"/>
      <c r="G932" s="968"/>
      <c r="H932" s="968"/>
      <c r="I932" s="968"/>
      <c r="J932" s="968"/>
      <c r="K932" s="967"/>
      <c r="L932" s="967"/>
      <c r="M932" s="967"/>
      <c r="N932" s="967"/>
      <c r="O932" s="1007"/>
      <c r="P932" s="1007"/>
      <c r="Q932" s="1008"/>
    </row>
    <row r="933" spans="1:17" hidden="1">
      <c r="A933" s="966"/>
      <c r="B933" s="967"/>
      <c r="C933" s="967">
        <v>897</v>
      </c>
      <c r="D933" s="967"/>
      <c r="E933" s="968"/>
      <c r="F933" s="968"/>
      <c r="G933" s="968"/>
      <c r="H933" s="968"/>
      <c r="I933" s="968"/>
      <c r="J933" s="968"/>
      <c r="K933" s="967"/>
      <c r="L933" s="967"/>
      <c r="M933" s="967"/>
      <c r="N933" s="967"/>
      <c r="O933" s="1007"/>
      <c r="P933" s="1007"/>
      <c r="Q933" s="1008"/>
    </row>
    <row r="934" spans="1:17" hidden="1">
      <c r="A934" s="966"/>
      <c r="B934" s="967"/>
      <c r="C934" s="967">
        <v>898</v>
      </c>
      <c r="D934" s="967"/>
      <c r="E934" s="968"/>
      <c r="F934" s="968"/>
      <c r="G934" s="968"/>
      <c r="H934" s="968"/>
      <c r="I934" s="968"/>
      <c r="J934" s="968"/>
      <c r="K934" s="967"/>
      <c r="L934" s="967"/>
      <c r="M934" s="967"/>
      <c r="N934" s="967"/>
      <c r="O934" s="1007"/>
      <c r="P934" s="1007"/>
      <c r="Q934" s="1008"/>
    </row>
    <row r="935" spans="1:17" hidden="1">
      <c r="A935" s="966"/>
      <c r="B935" s="967"/>
      <c r="C935" s="967">
        <v>899</v>
      </c>
      <c r="D935" s="967"/>
      <c r="E935" s="968"/>
      <c r="F935" s="968"/>
      <c r="G935" s="968"/>
      <c r="H935" s="968"/>
      <c r="I935" s="968"/>
      <c r="J935" s="968"/>
      <c r="K935" s="967"/>
      <c r="L935" s="967"/>
      <c r="M935" s="967"/>
      <c r="N935" s="967"/>
      <c r="O935" s="1007"/>
      <c r="P935" s="1007"/>
      <c r="Q935" s="1008"/>
    </row>
    <row r="936" spans="1:17" hidden="1">
      <c r="A936" s="966"/>
      <c r="B936" s="967"/>
      <c r="C936" s="967">
        <v>900</v>
      </c>
      <c r="D936" s="967"/>
      <c r="E936" s="968"/>
      <c r="F936" s="968"/>
      <c r="G936" s="968"/>
      <c r="H936" s="968"/>
      <c r="I936" s="968"/>
      <c r="J936" s="968"/>
      <c r="K936" s="967"/>
      <c r="L936" s="967"/>
      <c r="M936" s="967"/>
      <c r="N936" s="967"/>
      <c r="O936" s="1007"/>
      <c r="P936" s="1007"/>
      <c r="Q936" s="1008"/>
    </row>
    <row r="937" spans="1:17" hidden="1">
      <c r="A937" s="966"/>
      <c r="B937" s="967"/>
      <c r="C937" s="967">
        <v>901</v>
      </c>
      <c r="D937" s="967"/>
      <c r="E937" s="968"/>
      <c r="F937" s="968"/>
      <c r="G937" s="968"/>
      <c r="H937" s="968"/>
      <c r="I937" s="968"/>
      <c r="J937" s="968"/>
      <c r="K937" s="967"/>
      <c r="L937" s="967"/>
      <c r="M937" s="967"/>
      <c r="N937" s="967"/>
      <c r="O937" s="1007"/>
      <c r="P937" s="1007"/>
      <c r="Q937" s="1008"/>
    </row>
    <row r="938" spans="1:17" hidden="1">
      <c r="A938" s="966"/>
      <c r="B938" s="967"/>
      <c r="C938" s="967">
        <v>902</v>
      </c>
      <c r="D938" s="967"/>
      <c r="E938" s="968"/>
      <c r="F938" s="968"/>
      <c r="G938" s="968"/>
      <c r="H938" s="968"/>
      <c r="I938" s="968"/>
      <c r="J938" s="968"/>
      <c r="K938" s="967"/>
      <c r="L938" s="967"/>
      <c r="M938" s="967"/>
      <c r="N938" s="967"/>
      <c r="O938" s="1007"/>
      <c r="P938" s="1007"/>
      <c r="Q938" s="1008"/>
    </row>
    <row r="939" spans="1:17" hidden="1">
      <c r="A939" s="966"/>
      <c r="B939" s="967"/>
      <c r="C939" s="967">
        <v>903</v>
      </c>
      <c r="D939" s="967"/>
      <c r="E939" s="968"/>
      <c r="F939" s="968"/>
      <c r="G939" s="968"/>
      <c r="H939" s="968"/>
      <c r="I939" s="968"/>
      <c r="J939" s="968"/>
      <c r="K939" s="967"/>
      <c r="L939" s="967"/>
      <c r="M939" s="967"/>
      <c r="N939" s="967"/>
      <c r="O939" s="1007"/>
      <c r="P939" s="1007"/>
      <c r="Q939" s="1008"/>
    </row>
    <row r="940" spans="1:17" hidden="1">
      <c r="A940" s="966"/>
      <c r="B940" s="967"/>
      <c r="C940" s="967">
        <v>904</v>
      </c>
      <c r="D940" s="967"/>
      <c r="E940" s="968"/>
      <c r="F940" s="968"/>
      <c r="G940" s="968"/>
      <c r="H940" s="968"/>
      <c r="I940" s="968"/>
      <c r="J940" s="968"/>
      <c r="K940" s="967"/>
      <c r="L940" s="967"/>
      <c r="M940" s="967"/>
      <c r="N940" s="967"/>
      <c r="O940" s="1007"/>
      <c r="P940" s="1007"/>
      <c r="Q940" s="1008"/>
    </row>
    <row r="941" spans="1:17" hidden="1">
      <c r="A941" s="966"/>
      <c r="B941" s="967"/>
      <c r="C941" s="967">
        <v>905</v>
      </c>
      <c r="D941" s="967"/>
      <c r="E941" s="968"/>
      <c r="F941" s="968"/>
      <c r="G941" s="968"/>
      <c r="H941" s="968"/>
      <c r="I941" s="968"/>
      <c r="J941" s="968"/>
      <c r="K941" s="967"/>
      <c r="L941" s="967"/>
      <c r="M941" s="967"/>
      <c r="N941" s="967"/>
      <c r="O941" s="1007"/>
      <c r="P941" s="1007"/>
      <c r="Q941" s="1008"/>
    </row>
    <row r="942" spans="1:17" hidden="1">
      <c r="A942" s="966"/>
      <c r="B942" s="967"/>
      <c r="C942" s="967">
        <v>906</v>
      </c>
      <c r="D942" s="967"/>
      <c r="E942" s="968"/>
      <c r="F942" s="968"/>
      <c r="G942" s="968"/>
      <c r="H942" s="968"/>
      <c r="I942" s="968"/>
      <c r="J942" s="968"/>
      <c r="K942" s="967"/>
      <c r="L942" s="967"/>
      <c r="M942" s="967"/>
      <c r="N942" s="967"/>
      <c r="O942" s="1007"/>
      <c r="P942" s="1007"/>
      <c r="Q942" s="1008"/>
    </row>
    <row r="943" spans="1:17" hidden="1">
      <c r="A943" s="966"/>
      <c r="B943" s="967"/>
      <c r="C943" s="967">
        <v>907</v>
      </c>
      <c r="D943" s="967"/>
      <c r="E943" s="968"/>
      <c r="F943" s="968"/>
      <c r="G943" s="968"/>
      <c r="H943" s="968"/>
      <c r="I943" s="968"/>
      <c r="J943" s="968"/>
      <c r="K943" s="967"/>
      <c r="L943" s="967"/>
      <c r="M943" s="967"/>
      <c r="N943" s="967"/>
      <c r="O943" s="1007"/>
      <c r="P943" s="1007"/>
      <c r="Q943" s="1008"/>
    </row>
    <row r="944" spans="1:17" hidden="1">
      <c r="A944" s="966"/>
      <c r="B944" s="967"/>
      <c r="C944" s="967">
        <v>908</v>
      </c>
      <c r="D944" s="967"/>
      <c r="E944" s="968"/>
      <c r="F944" s="968"/>
      <c r="G944" s="968"/>
      <c r="H944" s="968"/>
      <c r="I944" s="968"/>
      <c r="J944" s="968"/>
      <c r="K944" s="967"/>
      <c r="L944" s="967"/>
      <c r="M944" s="967"/>
      <c r="N944" s="967"/>
      <c r="O944" s="1007"/>
      <c r="P944" s="1007"/>
      <c r="Q944" s="1008"/>
    </row>
    <row r="945" spans="1:17" hidden="1">
      <c r="A945" s="966"/>
      <c r="B945" s="967"/>
      <c r="C945" s="967">
        <v>909</v>
      </c>
      <c r="D945" s="967"/>
      <c r="E945" s="968"/>
      <c r="F945" s="968"/>
      <c r="G945" s="968"/>
      <c r="H945" s="968"/>
      <c r="I945" s="968"/>
      <c r="J945" s="968"/>
      <c r="K945" s="967"/>
      <c r="L945" s="967"/>
      <c r="M945" s="967"/>
      <c r="N945" s="967"/>
      <c r="O945" s="1007"/>
      <c r="P945" s="1007"/>
      <c r="Q945" s="1008"/>
    </row>
    <row r="946" spans="1:17" hidden="1">
      <c r="A946" s="966"/>
      <c r="B946" s="967"/>
      <c r="C946" s="967">
        <v>910</v>
      </c>
      <c r="D946" s="967"/>
      <c r="E946" s="968"/>
      <c r="F946" s="968"/>
      <c r="G946" s="968"/>
      <c r="H946" s="968"/>
      <c r="I946" s="968"/>
      <c r="J946" s="968"/>
      <c r="K946" s="967"/>
      <c r="L946" s="967"/>
      <c r="M946" s="967"/>
      <c r="N946" s="967"/>
      <c r="O946" s="1007"/>
      <c r="P946" s="1007"/>
      <c r="Q946" s="1008"/>
    </row>
    <row r="947" spans="1:17" hidden="1">
      <c r="A947" s="966"/>
      <c r="B947" s="967"/>
      <c r="C947" s="967">
        <v>911</v>
      </c>
      <c r="D947" s="967"/>
      <c r="E947" s="968"/>
      <c r="F947" s="968"/>
      <c r="G947" s="968"/>
      <c r="H947" s="968"/>
      <c r="I947" s="968"/>
      <c r="J947" s="968"/>
      <c r="K947" s="967"/>
      <c r="L947" s="967"/>
      <c r="M947" s="967"/>
      <c r="N947" s="967"/>
      <c r="O947" s="1007"/>
      <c r="P947" s="1007"/>
      <c r="Q947" s="1008"/>
    </row>
    <row r="948" spans="1:17" hidden="1">
      <c r="A948" s="966"/>
      <c r="B948" s="967"/>
      <c r="C948" s="967">
        <v>912</v>
      </c>
      <c r="D948" s="967"/>
      <c r="E948" s="968"/>
      <c r="F948" s="968"/>
      <c r="G948" s="968"/>
      <c r="H948" s="968"/>
      <c r="I948" s="968"/>
      <c r="J948" s="968"/>
      <c r="K948" s="967"/>
      <c r="L948" s="967"/>
      <c r="M948" s="967"/>
      <c r="N948" s="967"/>
      <c r="O948" s="1007"/>
      <c r="P948" s="1007"/>
      <c r="Q948" s="1008"/>
    </row>
    <row r="949" spans="1:17" hidden="1">
      <c r="A949" s="966"/>
      <c r="B949" s="967"/>
      <c r="C949" s="967">
        <v>913</v>
      </c>
      <c r="D949" s="967"/>
      <c r="E949" s="968"/>
      <c r="F949" s="968"/>
      <c r="G949" s="968"/>
      <c r="H949" s="968"/>
      <c r="I949" s="968"/>
      <c r="J949" s="968"/>
      <c r="K949" s="967"/>
      <c r="L949" s="967"/>
      <c r="M949" s="967"/>
      <c r="N949" s="967"/>
      <c r="O949" s="1007"/>
      <c r="P949" s="1007"/>
      <c r="Q949" s="1008"/>
    </row>
    <row r="950" spans="1:17" hidden="1">
      <c r="A950" s="966"/>
      <c r="B950" s="967"/>
      <c r="C950" s="967">
        <v>914</v>
      </c>
      <c r="D950" s="967"/>
      <c r="E950" s="968"/>
      <c r="F950" s="968"/>
      <c r="G950" s="968"/>
      <c r="H950" s="968"/>
      <c r="I950" s="968"/>
      <c r="J950" s="968"/>
      <c r="K950" s="967"/>
      <c r="L950" s="967"/>
      <c r="M950" s="967"/>
      <c r="N950" s="967"/>
      <c r="O950" s="1007"/>
      <c r="P950" s="1007"/>
      <c r="Q950" s="1008"/>
    </row>
    <row r="951" spans="1:17" hidden="1">
      <c r="A951" s="966"/>
      <c r="B951" s="967"/>
      <c r="C951" s="967">
        <v>915</v>
      </c>
      <c r="D951" s="967"/>
      <c r="E951" s="968"/>
      <c r="F951" s="968"/>
      <c r="G951" s="968"/>
      <c r="H951" s="968"/>
      <c r="I951" s="968"/>
      <c r="J951" s="968"/>
      <c r="K951" s="967"/>
      <c r="L951" s="967"/>
      <c r="M951" s="967"/>
      <c r="N951" s="967"/>
      <c r="O951" s="1007"/>
      <c r="P951" s="1007"/>
      <c r="Q951" s="1008"/>
    </row>
    <row r="952" spans="1:17" hidden="1">
      <c r="A952" s="966"/>
      <c r="B952" s="967"/>
      <c r="C952" s="967">
        <v>916</v>
      </c>
      <c r="D952" s="967"/>
      <c r="E952" s="968"/>
      <c r="F952" s="968"/>
      <c r="G952" s="968"/>
      <c r="H952" s="968"/>
      <c r="I952" s="968"/>
      <c r="J952" s="968"/>
      <c r="K952" s="967"/>
      <c r="L952" s="967"/>
      <c r="M952" s="967"/>
      <c r="N952" s="967"/>
      <c r="O952" s="1007"/>
      <c r="P952" s="1007"/>
      <c r="Q952" s="1008"/>
    </row>
    <row r="953" spans="1:17" hidden="1">
      <c r="A953" s="966"/>
      <c r="B953" s="967"/>
      <c r="C953" s="967">
        <v>917</v>
      </c>
      <c r="D953" s="967"/>
      <c r="E953" s="968"/>
      <c r="F953" s="968"/>
      <c r="G953" s="968"/>
      <c r="H953" s="968"/>
      <c r="I953" s="968"/>
      <c r="J953" s="968"/>
      <c r="K953" s="967"/>
      <c r="L953" s="967"/>
      <c r="M953" s="967"/>
      <c r="N953" s="967"/>
      <c r="O953" s="1007"/>
      <c r="P953" s="1007"/>
      <c r="Q953" s="1008"/>
    </row>
    <row r="954" spans="1:17" hidden="1">
      <c r="A954" s="966"/>
      <c r="B954" s="967"/>
      <c r="C954" s="967">
        <v>918</v>
      </c>
      <c r="D954" s="967"/>
      <c r="E954" s="968"/>
      <c r="F954" s="968"/>
      <c r="G954" s="968"/>
      <c r="H954" s="968"/>
      <c r="I954" s="968"/>
      <c r="J954" s="968"/>
      <c r="K954" s="967"/>
      <c r="L954" s="967"/>
      <c r="M954" s="967"/>
      <c r="N954" s="967"/>
      <c r="O954" s="1007"/>
      <c r="P954" s="1007"/>
      <c r="Q954" s="1008"/>
    </row>
    <row r="955" spans="1:17" hidden="1">
      <c r="A955" s="966"/>
      <c r="B955" s="967"/>
      <c r="C955" s="967">
        <v>919</v>
      </c>
      <c r="D955" s="967"/>
      <c r="E955" s="968"/>
      <c r="F955" s="968"/>
      <c r="G955" s="968"/>
      <c r="H955" s="968"/>
      <c r="I955" s="968"/>
      <c r="J955" s="968"/>
      <c r="K955" s="967"/>
      <c r="L955" s="967"/>
      <c r="M955" s="967"/>
      <c r="N955" s="967"/>
      <c r="O955" s="1007"/>
      <c r="P955" s="1007"/>
      <c r="Q955" s="1008"/>
    </row>
    <row r="956" spans="1:17" hidden="1">
      <c r="A956" s="966"/>
      <c r="B956" s="967"/>
      <c r="C956" s="967">
        <v>920</v>
      </c>
      <c r="D956" s="967"/>
      <c r="E956" s="968"/>
      <c r="F956" s="968"/>
      <c r="G956" s="968"/>
      <c r="H956" s="968"/>
      <c r="I956" s="968"/>
      <c r="J956" s="968"/>
      <c r="K956" s="967"/>
      <c r="L956" s="967"/>
      <c r="M956" s="967"/>
      <c r="N956" s="967"/>
      <c r="O956" s="1007"/>
      <c r="P956" s="1007"/>
      <c r="Q956" s="1008"/>
    </row>
    <row r="957" spans="1:17" hidden="1">
      <c r="A957" s="966"/>
      <c r="B957" s="967"/>
      <c r="C957" s="967">
        <v>921</v>
      </c>
      <c r="D957" s="967"/>
      <c r="E957" s="968"/>
      <c r="F957" s="968"/>
      <c r="G957" s="968"/>
      <c r="H957" s="968"/>
      <c r="I957" s="968"/>
      <c r="J957" s="968"/>
      <c r="K957" s="967"/>
      <c r="L957" s="967"/>
      <c r="M957" s="967"/>
      <c r="N957" s="967"/>
      <c r="O957" s="1007"/>
      <c r="P957" s="1007"/>
      <c r="Q957" s="1008"/>
    </row>
    <row r="958" spans="1:17" hidden="1">
      <c r="A958" s="966"/>
      <c r="B958" s="967"/>
      <c r="C958" s="967">
        <v>922</v>
      </c>
      <c r="D958" s="967"/>
      <c r="E958" s="968"/>
      <c r="F958" s="968"/>
      <c r="G958" s="968"/>
      <c r="H958" s="968"/>
      <c r="I958" s="968"/>
      <c r="J958" s="968"/>
      <c r="K958" s="967"/>
      <c r="L958" s="967"/>
      <c r="M958" s="967"/>
      <c r="N958" s="967"/>
      <c r="O958" s="1007"/>
      <c r="P958" s="1007"/>
      <c r="Q958" s="1008"/>
    </row>
    <row r="959" spans="1:17" hidden="1">
      <c r="A959" s="966"/>
      <c r="B959" s="967"/>
      <c r="C959" s="967">
        <v>923</v>
      </c>
      <c r="D959" s="967"/>
      <c r="E959" s="968"/>
      <c r="F959" s="968"/>
      <c r="G959" s="968"/>
      <c r="H959" s="968"/>
      <c r="I959" s="968"/>
      <c r="J959" s="968"/>
      <c r="K959" s="967"/>
      <c r="L959" s="967"/>
      <c r="M959" s="967"/>
      <c r="N959" s="967"/>
      <c r="O959" s="1007"/>
      <c r="P959" s="1007"/>
      <c r="Q959" s="1008"/>
    </row>
    <row r="960" spans="1:17" hidden="1">
      <c r="A960" s="966"/>
      <c r="B960" s="967"/>
      <c r="C960" s="967">
        <v>924</v>
      </c>
      <c r="D960" s="967"/>
      <c r="E960" s="968"/>
      <c r="F960" s="968"/>
      <c r="G960" s="968"/>
      <c r="H960" s="968"/>
      <c r="I960" s="968"/>
      <c r="J960" s="968"/>
      <c r="K960" s="967"/>
      <c r="L960" s="967"/>
      <c r="M960" s="967"/>
      <c r="N960" s="967"/>
      <c r="O960" s="1007"/>
      <c r="P960" s="1007"/>
      <c r="Q960" s="1008"/>
    </row>
    <row r="961" spans="1:17" hidden="1">
      <c r="A961" s="966"/>
      <c r="B961" s="967"/>
      <c r="C961" s="967">
        <v>925</v>
      </c>
      <c r="D961" s="967"/>
      <c r="E961" s="968"/>
      <c r="F961" s="968"/>
      <c r="G961" s="968"/>
      <c r="H961" s="968"/>
      <c r="I961" s="968"/>
      <c r="J961" s="968"/>
      <c r="K961" s="967"/>
      <c r="L961" s="967"/>
      <c r="M961" s="967"/>
      <c r="N961" s="967"/>
      <c r="O961" s="1007"/>
      <c r="P961" s="1007"/>
      <c r="Q961" s="1008"/>
    </row>
    <row r="962" spans="1:17" hidden="1">
      <c r="A962" s="966"/>
      <c r="B962" s="967"/>
      <c r="C962" s="967">
        <v>926</v>
      </c>
      <c r="D962" s="967"/>
      <c r="E962" s="968"/>
      <c r="F962" s="968"/>
      <c r="G962" s="968"/>
      <c r="H962" s="968"/>
      <c r="I962" s="968"/>
      <c r="J962" s="968"/>
      <c r="K962" s="967"/>
      <c r="L962" s="967"/>
      <c r="M962" s="967"/>
      <c r="N962" s="967"/>
      <c r="O962" s="1007"/>
      <c r="P962" s="1007"/>
      <c r="Q962" s="1008"/>
    </row>
    <row r="963" spans="1:17" hidden="1">
      <c r="A963" s="966"/>
      <c r="B963" s="967"/>
      <c r="C963" s="967">
        <v>927</v>
      </c>
      <c r="D963" s="967"/>
      <c r="E963" s="968"/>
      <c r="F963" s="968"/>
      <c r="G963" s="968"/>
      <c r="H963" s="968"/>
      <c r="I963" s="968"/>
      <c r="J963" s="968"/>
      <c r="K963" s="967"/>
      <c r="L963" s="967"/>
      <c r="M963" s="967"/>
      <c r="N963" s="967"/>
      <c r="O963" s="1007"/>
      <c r="P963" s="1007"/>
      <c r="Q963" s="1008"/>
    </row>
    <row r="964" spans="1:17" hidden="1">
      <c r="A964" s="966"/>
      <c r="B964" s="967"/>
      <c r="C964" s="967">
        <v>928</v>
      </c>
      <c r="D964" s="967"/>
      <c r="E964" s="968"/>
      <c r="F964" s="968"/>
      <c r="G964" s="968"/>
      <c r="H964" s="968"/>
      <c r="I964" s="968"/>
      <c r="J964" s="968"/>
      <c r="K964" s="967"/>
      <c r="L964" s="967"/>
      <c r="M964" s="967"/>
      <c r="N964" s="967"/>
      <c r="O964" s="1007"/>
      <c r="P964" s="1007"/>
      <c r="Q964" s="1008"/>
    </row>
    <row r="965" spans="1:17" hidden="1">
      <c r="A965" s="966"/>
      <c r="B965" s="967"/>
      <c r="C965" s="967">
        <v>929</v>
      </c>
      <c r="D965" s="967"/>
      <c r="E965" s="968"/>
      <c r="F965" s="968"/>
      <c r="G965" s="968"/>
      <c r="H965" s="968"/>
      <c r="I965" s="968"/>
      <c r="J965" s="968"/>
      <c r="K965" s="967"/>
      <c r="L965" s="967"/>
      <c r="M965" s="967"/>
      <c r="N965" s="967"/>
      <c r="O965" s="1007"/>
      <c r="P965" s="1007"/>
      <c r="Q965" s="1008"/>
    </row>
    <row r="966" spans="1:17" hidden="1">
      <c r="A966" s="966"/>
      <c r="B966" s="967"/>
      <c r="C966" s="967">
        <v>930</v>
      </c>
      <c r="D966" s="967"/>
      <c r="E966" s="968"/>
      <c r="F966" s="968"/>
      <c r="G966" s="968"/>
      <c r="H966" s="968"/>
      <c r="I966" s="968"/>
      <c r="J966" s="968"/>
      <c r="K966" s="967"/>
      <c r="L966" s="967"/>
      <c r="M966" s="967"/>
      <c r="N966" s="967"/>
      <c r="O966" s="1007"/>
      <c r="P966" s="1007"/>
      <c r="Q966" s="1008"/>
    </row>
    <row r="967" spans="1:17" hidden="1">
      <c r="A967" s="966"/>
      <c r="B967" s="967"/>
      <c r="C967" s="967">
        <v>931</v>
      </c>
      <c r="D967" s="967"/>
      <c r="E967" s="968"/>
      <c r="F967" s="968"/>
      <c r="G967" s="968"/>
      <c r="H967" s="968"/>
      <c r="I967" s="968"/>
      <c r="J967" s="968"/>
      <c r="K967" s="967"/>
      <c r="L967" s="967"/>
      <c r="M967" s="967"/>
      <c r="N967" s="967"/>
      <c r="O967" s="1007"/>
      <c r="P967" s="1007"/>
      <c r="Q967" s="1008"/>
    </row>
    <row r="968" spans="1:17" hidden="1">
      <c r="A968" s="966"/>
      <c r="B968" s="967"/>
      <c r="C968" s="967">
        <v>932</v>
      </c>
      <c r="D968" s="967"/>
      <c r="E968" s="968"/>
      <c r="F968" s="968"/>
      <c r="G968" s="968"/>
      <c r="H968" s="968"/>
      <c r="I968" s="968"/>
      <c r="J968" s="968"/>
      <c r="K968" s="967"/>
      <c r="L968" s="967"/>
      <c r="M968" s="967"/>
      <c r="N968" s="967"/>
      <c r="O968" s="1007"/>
      <c r="P968" s="1007"/>
      <c r="Q968" s="1008"/>
    </row>
    <row r="969" spans="1:17" hidden="1">
      <c r="A969" s="966"/>
      <c r="B969" s="967"/>
      <c r="C969" s="967">
        <v>933</v>
      </c>
      <c r="D969" s="967"/>
      <c r="E969" s="968"/>
      <c r="F969" s="968"/>
      <c r="G969" s="968"/>
      <c r="H969" s="968"/>
      <c r="I969" s="968"/>
      <c r="J969" s="968"/>
      <c r="K969" s="967"/>
      <c r="L969" s="967"/>
      <c r="M969" s="967"/>
      <c r="N969" s="967"/>
      <c r="O969" s="1007"/>
      <c r="P969" s="1007"/>
      <c r="Q969" s="1008"/>
    </row>
    <row r="970" spans="1:17" hidden="1">
      <c r="A970" s="966"/>
      <c r="B970" s="967"/>
      <c r="C970" s="967">
        <v>934</v>
      </c>
      <c r="D970" s="967"/>
      <c r="E970" s="968"/>
      <c r="F970" s="968"/>
      <c r="G970" s="968"/>
      <c r="H970" s="968"/>
      <c r="I970" s="968"/>
      <c r="J970" s="968"/>
      <c r="K970" s="967"/>
      <c r="L970" s="967"/>
      <c r="M970" s="967"/>
      <c r="N970" s="967"/>
      <c r="O970" s="1007"/>
      <c r="P970" s="1007"/>
      <c r="Q970" s="1008"/>
    </row>
    <row r="971" spans="1:17" hidden="1">
      <c r="A971" s="966"/>
      <c r="B971" s="967"/>
      <c r="C971" s="967">
        <v>935</v>
      </c>
      <c r="D971" s="967"/>
      <c r="E971" s="968"/>
      <c r="F971" s="968"/>
      <c r="G971" s="968"/>
      <c r="H971" s="968"/>
      <c r="I971" s="968"/>
      <c r="J971" s="968"/>
      <c r="K971" s="967"/>
      <c r="L971" s="967"/>
      <c r="M971" s="967"/>
      <c r="N971" s="967"/>
      <c r="O971" s="1007"/>
      <c r="P971" s="1007"/>
      <c r="Q971" s="1008"/>
    </row>
    <row r="972" spans="1:17" hidden="1">
      <c r="A972" s="966"/>
      <c r="B972" s="967"/>
      <c r="C972" s="967">
        <v>936</v>
      </c>
      <c r="D972" s="967"/>
      <c r="E972" s="968"/>
      <c r="F972" s="968"/>
      <c r="G972" s="968"/>
      <c r="H972" s="968"/>
      <c r="I972" s="968"/>
      <c r="J972" s="968"/>
      <c r="K972" s="967"/>
      <c r="L972" s="967"/>
      <c r="M972" s="967"/>
      <c r="N972" s="967"/>
      <c r="O972" s="1007"/>
      <c r="P972" s="1007"/>
      <c r="Q972" s="1008"/>
    </row>
    <row r="973" spans="1:17" hidden="1">
      <c r="A973" s="966"/>
      <c r="B973" s="967"/>
      <c r="C973" s="967">
        <v>937</v>
      </c>
      <c r="D973" s="967"/>
      <c r="E973" s="968"/>
      <c r="F973" s="968"/>
      <c r="G973" s="968"/>
      <c r="H973" s="968"/>
      <c r="I973" s="968"/>
      <c r="J973" s="968"/>
      <c r="K973" s="967"/>
      <c r="L973" s="967"/>
      <c r="M973" s="967"/>
      <c r="N973" s="967"/>
      <c r="O973" s="1007"/>
      <c r="P973" s="1007"/>
      <c r="Q973" s="1008"/>
    </row>
    <row r="974" spans="1:17" hidden="1">
      <c r="A974" s="966"/>
      <c r="B974" s="967"/>
      <c r="C974" s="967">
        <v>938</v>
      </c>
      <c r="D974" s="967"/>
      <c r="E974" s="968"/>
      <c r="F974" s="968"/>
      <c r="G974" s="968"/>
      <c r="H974" s="968"/>
      <c r="I974" s="968"/>
      <c r="J974" s="968"/>
      <c r="K974" s="967"/>
      <c r="L974" s="967"/>
      <c r="M974" s="967"/>
      <c r="N974" s="967"/>
      <c r="O974" s="1007"/>
      <c r="P974" s="1007"/>
      <c r="Q974" s="1008"/>
    </row>
    <row r="975" spans="1:17" hidden="1">
      <c r="A975" s="966"/>
      <c r="B975" s="967"/>
      <c r="C975" s="967">
        <v>939</v>
      </c>
      <c r="D975" s="967"/>
      <c r="E975" s="968"/>
      <c r="F975" s="968"/>
      <c r="G975" s="968"/>
      <c r="H975" s="968"/>
      <c r="I975" s="968"/>
      <c r="J975" s="968"/>
      <c r="K975" s="967"/>
      <c r="L975" s="967"/>
      <c r="M975" s="967"/>
      <c r="N975" s="967"/>
      <c r="O975" s="1007"/>
      <c r="P975" s="1007"/>
      <c r="Q975" s="1008"/>
    </row>
    <row r="976" spans="1:17" hidden="1">
      <c r="A976" s="966"/>
      <c r="B976" s="967"/>
      <c r="C976" s="967">
        <v>940</v>
      </c>
      <c r="D976" s="967"/>
      <c r="E976" s="968"/>
      <c r="F976" s="968"/>
      <c r="G976" s="968"/>
      <c r="H976" s="968"/>
      <c r="I976" s="968"/>
      <c r="J976" s="968"/>
      <c r="K976" s="967"/>
      <c r="L976" s="967"/>
      <c r="M976" s="967"/>
      <c r="N976" s="967"/>
      <c r="O976" s="1007"/>
      <c r="P976" s="1007"/>
      <c r="Q976" s="1008"/>
    </row>
    <row r="977" spans="1:17" hidden="1">
      <c r="A977" s="966"/>
      <c r="B977" s="967"/>
      <c r="C977" s="967">
        <v>941</v>
      </c>
      <c r="D977" s="967"/>
      <c r="E977" s="968"/>
      <c r="F977" s="968"/>
      <c r="G977" s="968"/>
      <c r="H977" s="968"/>
      <c r="I977" s="968"/>
      <c r="J977" s="968"/>
      <c r="K977" s="967"/>
      <c r="L977" s="967"/>
      <c r="M977" s="967"/>
      <c r="N977" s="967"/>
      <c r="O977" s="1007"/>
      <c r="P977" s="1007"/>
      <c r="Q977" s="1008"/>
    </row>
    <row r="978" spans="1:17" hidden="1">
      <c r="A978" s="966"/>
      <c r="B978" s="967"/>
      <c r="C978" s="967">
        <v>942</v>
      </c>
      <c r="D978" s="967"/>
      <c r="E978" s="968"/>
      <c r="F978" s="968"/>
      <c r="G978" s="968"/>
      <c r="H978" s="968"/>
      <c r="I978" s="968"/>
      <c r="J978" s="968"/>
      <c r="K978" s="967"/>
      <c r="L978" s="967"/>
      <c r="M978" s="967"/>
      <c r="N978" s="967"/>
      <c r="O978" s="1007"/>
      <c r="P978" s="1007"/>
      <c r="Q978" s="1008"/>
    </row>
    <row r="979" spans="1:17" hidden="1">
      <c r="A979" s="966"/>
      <c r="B979" s="967"/>
      <c r="C979" s="967">
        <v>943</v>
      </c>
      <c r="D979" s="967"/>
      <c r="E979" s="968"/>
      <c r="F979" s="968"/>
      <c r="G979" s="968"/>
      <c r="H979" s="968"/>
      <c r="I979" s="968"/>
      <c r="J979" s="968"/>
      <c r="K979" s="967"/>
      <c r="L979" s="967"/>
      <c r="M979" s="967"/>
      <c r="N979" s="967"/>
      <c r="O979" s="1007"/>
      <c r="P979" s="1007"/>
      <c r="Q979" s="1008"/>
    </row>
    <row r="980" spans="1:17" hidden="1">
      <c r="A980" s="966"/>
      <c r="B980" s="967"/>
      <c r="C980" s="967">
        <v>944</v>
      </c>
      <c r="D980" s="967"/>
      <c r="E980" s="968"/>
      <c r="F980" s="968"/>
      <c r="G980" s="968"/>
      <c r="H980" s="968"/>
      <c r="I980" s="968"/>
      <c r="J980" s="968"/>
      <c r="K980" s="967"/>
      <c r="L980" s="967"/>
      <c r="M980" s="967"/>
      <c r="N980" s="967"/>
      <c r="O980" s="1007"/>
      <c r="P980" s="1007"/>
      <c r="Q980" s="1008"/>
    </row>
    <row r="981" spans="1:17" hidden="1">
      <c r="A981" s="966"/>
      <c r="B981" s="967"/>
      <c r="C981" s="967">
        <v>945</v>
      </c>
      <c r="D981" s="967"/>
      <c r="E981" s="968"/>
      <c r="F981" s="968"/>
      <c r="G981" s="968"/>
      <c r="H981" s="968"/>
      <c r="I981" s="968"/>
      <c r="J981" s="968"/>
      <c r="K981" s="967"/>
      <c r="L981" s="967"/>
      <c r="M981" s="967"/>
      <c r="N981" s="967"/>
      <c r="O981" s="1007"/>
      <c r="P981" s="1007"/>
      <c r="Q981" s="1008"/>
    </row>
    <row r="982" spans="1:17" hidden="1">
      <c r="A982" s="966"/>
      <c r="B982" s="967"/>
      <c r="C982" s="967">
        <v>946</v>
      </c>
      <c r="D982" s="967"/>
      <c r="E982" s="968"/>
      <c r="F982" s="968"/>
      <c r="G982" s="968"/>
      <c r="H982" s="968"/>
      <c r="I982" s="968"/>
      <c r="J982" s="968"/>
      <c r="K982" s="967"/>
      <c r="L982" s="967"/>
      <c r="M982" s="967"/>
      <c r="N982" s="967"/>
      <c r="O982" s="1007"/>
      <c r="P982" s="1007"/>
      <c r="Q982" s="1008"/>
    </row>
    <row r="983" spans="1:17" hidden="1">
      <c r="A983" s="966"/>
      <c r="B983" s="967"/>
      <c r="C983" s="967">
        <v>947</v>
      </c>
      <c r="D983" s="967"/>
      <c r="E983" s="968"/>
      <c r="F983" s="968"/>
      <c r="G983" s="968"/>
      <c r="H983" s="968"/>
      <c r="I983" s="968"/>
      <c r="J983" s="968"/>
      <c r="K983" s="967"/>
      <c r="L983" s="967"/>
      <c r="M983" s="967"/>
      <c r="N983" s="967"/>
      <c r="O983" s="1007"/>
      <c r="P983" s="1007"/>
      <c r="Q983" s="1008"/>
    </row>
    <row r="984" spans="1:17" hidden="1">
      <c r="A984" s="966"/>
      <c r="B984" s="967"/>
      <c r="C984" s="967">
        <v>948</v>
      </c>
      <c r="D984" s="967"/>
      <c r="E984" s="968"/>
      <c r="F984" s="968"/>
      <c r="G984" s="968"/>
      <c r="H984" s="968"/>
      <c r="I984" s="968"/>
      <c r="J984" s="968"/>
      <c r="K984" s="967"/>
      <c r="L984" s="967"/>
      <c r="M984" s="967"/>
      <c r="N984" s="967"/>
      <c r="O984" s="1007"/>
      <c r="P984" s="1007"/>
      <c r="Q984" s="1008"/>
    </row>
    <row r="985" spans="1:17" hidden="1">
      <c r="A985" s="966"/>
      <c r="B985" s="967"/>
      <c r="C985" s="967">
        <v>949</v>
      </c>
      <c r="D985" s="967"/>
      <c r="E985" s="968"/>
      <c r="F985" s="968"/>
      <c r="G985" s="968"/>
      <c r="H985" s="968"/>
      <c r="I985" s="968"/>
      <c r="J985" s="968"/>
      <c r="K985" s="967"/>
      <c r="L985" s="967"/>
      <c r="M985" s="967"/>
      <c r="N985" s="967"/>
      <c r="O985" s="1007"/>
      <c r="P985" s="1007"/>
      <c r="Q985" s="1008"/>
    </row>
    <row r="986" spans="1:17" hidden="1">
      <c r="A986" s="966"/>
      <c r="B986" s="967"/>
      <c r="C986" s="967">
        <v>950</v>
      </c>
      <c r="D986" s="967"/>
      <c r="E986" s="968"/>
      <c r="F986" s="968"/>
      <c r="G986" s="968"/>
      <c r="H986" s="968"/>
      <c r="I986" s="968"/>
      <c r="J986" s="968"/>
      <c r="K986" s="967"/>
      <c r="L986" s="967"/>
      <c r="M986" s="967"/>
      <c r="N986" s="967"/>
      <c r="O986" s="1007"/>
      <c r="P986" s="1007"/>
      <c r="Q986" s="1008"/>
    </row>
    <row r="987" spans="1:17" hidden="1">
      <c r="A987" s="966"/>
      <c r="B987" s="967"/>
      <c r="C987" s="967">
        <v>951</v>
      </c>
      <c r="D987" s="967"/>
      <c r="E987" s="968"/>
      <c r="F987" s="968"/>
      <c r="G987" s="968"/>
      <c r="H987" s="968"/>
      <c r="I987" s="968"/>
      <c r="J987" s="968"/>
      <c r="K987" s="967"/>
      <c r="L987" s="967"/>
      <c r="M987" s="967"/>
      <c r="N987" s="967"/>
      <c r="O987" s="1007"/>
      <c r="P987" s="1007"/>
      <c r="Q987" s="1008"/>
    </row>
    <row r="988" spans="1:17" hidden="1">
      <c r="A988" s="966"/>
      <c r="B988" s="967"/>
      <c r="C988" s="967">
        <v>952</v>
      </c>
      <c r="D988" s="967"/>
      <c r="E988" s="968"/>
      <c r="F988" s="968"/>
      <c r="G988" s="968"/>
      <c r="H988" s="968"/>
      <c r="I988" s="968"/>
      <c r="J988" s="968"/>
      <c r="K988" s="967"/>
      <c r="L988" s="967"/>
      <c r="M988" s="967"/>
      <c r="N988" s="967"/>
      <c r="O988" s="1007"/>
      <c r="P988" s="1007"/>
      <c r="Q988" s="1008"/>
    </row>
    <row r="989" spans="1:17" hidden="1">
      <c r="A989" s="966"/>
      <c r="B989" s="967"/>
      <c r="C989" s="967">
        <v>953</v>
      </c>
      <c r="D989" s="967"/>
      <c r="E989" s="968"/>
      <c r="F989" s="968"/>
      <c r="G989" s="968"/>
      <c r="H989" s="968"/>
      <c r="I989" s="968"/>
      <c r="J989" s="968"/>
      <c r="K989" s="967"/>
      <c r="L989" s="967"/>
      <c r="M989" s="967"/>
      <c r="N989" s="967"/>
      <c r="O989" s="1007"/>
      <c r="P989" s="1007"/>
      <c r="Q989" s="1008"/>
    </row>
    <row r="990" spans="1:17" hidden="1">
      <c r="A990" s="966"/>
      <c r="B990" s="967"/>
      <c r="C990" s="967">
        <v>954</v>
      </c>
      <c r="D990" s="967"/>
      <c r="E990" s="968"/>
      <c r="F990" s="968"/>
      <c r="G990" s="968"/>
      <c r="H990" s="968"/>
      <c r="I990" s="968"/>
      <c r="J990" s="968"/>
      <c r="K990" s="967"/>
      <c r="L990" s="967"/>
      <c r="M990" s="967"/>
      <c r="N990" s="967"/>
      <c r="O990" s="1007"/>
      <c r="P990" s="1007"/>
      <c r="Q990" s="1008"/>
    </row>
    <row r="991" spans="1:17" hidden="1">
      <c r="A991" s="966"/>
      <c r="B991" s="967"/>
      <c r="C991" s="967">
        <v>955</v>
      </c>
      <c r="D991" s="967"/>
      <c r="E991" s="968"/>
      <c r="F991" s="968"/>
      <c r="G991" s="968"/>
      <c r="H991" s="968"/>
      <c r="I991" s="968"/>
      <c r="J991" s="968"/>
      <c r="K991" s="967"/>
      <c r="L991" s="967"/>
      <c r="M991" s="967"/>
      <c r="N991" s="967"/>
      <c r="O991" s="1007"/>
      <c r="P991" s="1007"/>
      <c r="Q991" s="1008"/>
    </row>
    <row r="992" spans="1:17" hidden="1">
      <c r="A992" s="966"/>
      <c r="B992" s="967"/>
      <c r="C992" s="967">
        <v>956</v>
      </c>
      <c r="D992" s="967"/>
      <c r="E992" s="968"/>
      <c r="F992" s="968"/>
      <c r="G992" s="968"/>
      <c r="H992" s="968"/>
      <c r="I992" s="968"/>
      <c r="J992" s="968"/>
      <c r="K992" s="967"/>
      <c r="L992" s="967"/>
      <c r="M992" s="967"/>
      <c r="N992" s="967"/>
      <c r="O992" s="1007"/>
      <c r="P992" s="1007"/>
      <c r="Q992" s="1008"/>
    </row>
    <row r="993" spans="1:17" hidden="1">
      <c r="A993" s="966"/>
      <c r="B993" s="967"/>
      <c r="C993" s="967">
        <v>957</v>
      </c>
      <c r="D993" s="967"/>
      <c r="E993" s="968"/>
      <c r="F993" s="968"/>
      <c r="G993" s="968"/>
      <c r="H993" s="968"/>
      <c r="I993" s="968"/>
      <c r="J993" s="968"/>
      <c r="K993" s="967"/>
      <c r="L993" s="967"/>
      <c r="M993" s="967"/>
      <c r="N993" s="967"/>
      <c r="O993" s="1007"/>
      <c r="P993" s="1007"/>
      <c r="Q993" s="1008"/>
    </row>
    <row r="994" spans="1:17" hidden="1">
      <c r="A994" s="966"/>
      <c r="B994" s="967"/>
      <c r="C994" s="967">
        <v>958</v>
      </c>
      <c r="D994" s="967"/>
      <c r="E994" s="968"/>
      <c r="F994" s="968"/>
      <c r="G994" s="968"/>
      <c r="H994" s="968"/>
      <c r="I994" s="968"/>
      <c r="J994" s="968"/>
      <c r="K994" s="967"/>
      <c r="L994" s="967"/>
      <c r="M994" s="967"/>
      <c r="N994" s="967"/>
      <c r="O994" s="1007"/>
      <c r="P994" s="1007"/>
      <c r="Q994" s="1008"/>
    </row>
    <row r="995" spans="1:17" hidden="1">
      <c r="A995" s="966"/>
      <c r="B995" s="967"/>
      <c r="C995" s="967">
        <v>959</v>
      </c>
      <c r="D995" s="967"/>
      <c r="E995" s="968"/>
      <c r="F995" s="968"/>
      <c r="G995" s="968"/>
      <c r="H995" s="968"/>
      <c r="I995" s="968"/>
      <c r="J995" s="968"/>
      <c r="K995" s="967"/>
      <c r="L995" s="967"/>
      <c r="M995" s="967"/>
      <c r="N995" s="967"/>
      <c r="O995" s="1007"/>
      <c r="P995" s="1007"/>
      <c r="Q995" s="1008"/>
    </row>
    <row r="996" spans="1:17" hidden="1">
      <c r="A996" s="966"/>
      <c r="B996" s="967"/>
      <c r="C996" s="967">
        <v>960</v>
      </c>
      <c r="D996" s="967"/>
      <c r="E996" s="968"/>
      <c r="F996" s="968"/>
      <c r="G996" s="968"/>
      <c r="H996" s="968"/>
      <c r="I996" s="968"/>
      <c r="J996" s="968"/>
      <c r="K996" s="967"/>
      <c r="L996" s="967"/>
      <c r="M996" s="967"/>
      <c r="N996" s="967"/>
      <c r="O996" s="1007"/>
      <c r="P996" s="1007"/>
      <c r="Q996" s="1008"/>
    </row>
    <row r="997" spans="1:17" hidden="1">
      <c r="A997" s="966"/>
      <c r="B997" s="967"/>
      <c r="C997" s="967">
        <v>961</v>
      </c>
      <c r="D997" s="967"/>
      <c r="E997" s="968"/>
      <c r="F997" s="968"/>
      <c r="G997" s="968"/>
      <c r="H997" s="968"/>
      <c r="I997" s="968"/>
      <c r="J997" s="968"/>
      <c r="K997" s="967"/>
      <c r="L997" s="967"/>
      <c r="M997" s="967"/>
      <c r="N997" s="967"/>
      <c r="O997" s="1007"/>
      <c r="P997" s="1007"/>
      <c r="Q997" s="1008"/>
    </row>
    <row r="998" spans="1:17" hidden="1">
      <c r="A998" s="966"/>
      <c r="B998" s="967"/>
      <c r="C998" s="967">
        <v>962</v>
      </c>
      <c r="D998" s="967"/>
      <c r="E998" s="968"/>
      <c r="F998" s="968"/>
      <c r="G998" s="968"/>
      <c r="H998" s="968"/>
      <c r="I998" s="968"/>
      <c r="J998" s="968"/>
      <c r="K998" s="967"/>
      <c r="L998" s="967"/>
      <c r="M998" s="967"/>
      <c r="N998" s="967"/>
      <c r="O998" s="1007"/>
      <c r="P998" s="1007"/>
      <c r="Q998" s="1008"/>
    </row>
    <row r="999" spans="1:17" hidden="1">
      <c r="A999" s="966"/>
      <c r="B999" s="967"/>
      <c r="C999" s="967">
        <v>963</v>
      </c>
      <c r="D999" s="967"/>
      <c r="E999" s="968"/>
      <c r="F999" s="968"/>
      <c r="G999" s="968"/>
      <c r="H999" s="968"/>
      <c r="I999" s="968"/>
      <c r="J999" s="968"/>
      <c r="K999" s="967"/>
      <c r="L999" s="967"/>
      <c r="M999" s="967"/>
      <c r="N999" s="967"/>
      <c r="O999" s="1007"/>
      <c r="P999" s="1007"/>
      <c r="Q999" s="1008"/>
    </row>
    <row r="1000" spans="1:17" hidden="1">
      <c r="A1000" s="966"/>
      <c r="B1000" s="967"/>
      <c r="C1000" s="967">
        <v>964</v>
      </c>
      <c r="D1000" s="967"/>
      <c r="E1000" s="968"/>
      <c r="F1000" s="968"/>
      <c r="G1000" s="968"/>
      <c r="H1000" s="968"/>
      <c r="I1000" s="968"/>
      <c r="J1000" s="968"/>
      <c r="K1000" s="967"/>
      <c r="L1000" s="967"/>
      <c r="M1000" s="967"/>
      <c r="N1000" s="967"/>
      <c r="O1000" s="1007"/>
      <c r="P1000" s="1007"/>
      <c r="Q1000" s="1008"/>
    </row>
    <row r="1001" spans="1:17" hidden="1">
      <c r="A1001" s="966"/>
      <c r="B1001" s="967"/>
      <c r="C1001" s="967">
        <v>965</v>
      </c>
      <c r="D1001" s="967"/>
      <c r="E1001" s="968"/>
      <c r="F1001" s="968"/>
      <c r="G1001" s="968"/>
      <c r="H1001" s="968"/>
      <c r="I1001" s="968"/>
      <c r="J1001" s="968"/>
      <c r="K1001" s="967"/>
      <c r="L1001" s="967"/>
      <c r="M1001" s="967"/>
      <c r="N1001" s="967"/>
      <c r="O1001" s="1007"/>
      <c r="P1001" s="1007"/>
      <c r="Q1001" s="1008"/>
    </row>
    <row r="1002" spans="1:17" hidden="1">
      <c r="A1002" s="966"/>
      <c r="B1002" s="967"/>
      <c r="C1002" s="967">
        <v>966</v>
      </c>
      <c r="D1002" s="967"/>
      <c r="E1002" s="968"/>
      <c r="F1002" s="968"/>
      <c r="G1002" s="968"/>
      <c r="H1002" s="968"/>
      <c r="I1002" s="968"/>
      <c r="J1002" s="968"/>
      <c r="K1002" s="967"/>
      <c r="L1002" s="967"/>
      <c r="M1002" s="967"/>
      <c r="N1002" s="967"/>
      <c r="O1002" s="1007"/>
      <c r="P1002" s="1007"/>
      <c r="Q1002" s="1008"/>
    </row>
    <row r="1003" spans="1:17" hidden="1">
      <c r="A1003" s="966"/>
      <c r="B1003" s="967"/>
      <c r="C1003" s="967">
        <v>967</v>
      </c>
      <c r="D1003" s="967"/>
      <c r="E1003" s="968"/>
      <c r="F1003" s="968"/>
      <c r="G1003" s="968"/>
      <c r="H1003" s="968"/>
      <c r="I1003" s="968"/>
      <c r="J1003" s="968"/>
      <c r="K1003" s="967"/>
      <c r="L1003" s="967"/>
      <c r="M1003" s="967"/>
      <c r="N1003" s="967"/>
      <c r="O1003" s="1007"/>
      <c r="P1003" s="1007"/>
      <c r="Q1003" s="1008"/>
    </row>
    <row r="1004" spans="1:17" hidden="1">
      <c r="A1004" s="966"/>
      <c r="B1004" s="967"/>
      <c r="C1004" s="967">
        <v>968</v>
      </c>
      <c r="D1004" s="967"/>
      <c r="E1004" s="968"/>
      <c r="F1004" s="968"/>
      <c r="G1004" s="968"/>
      <c r="H1004" s="968"/>
      <c r="I1004" s="968"/>
      <c r="J1004" s="968"/>
      <c r="K1004" s="967"/>
      <c r="L1004" s="967"/>
      <c r="M1004" s="967"/>
      <c r="N1004" s="967"/>
      <c r="O1004" s="1007"/>
      <c r="P1004" s="1007"/>
      <c r="Q1004" s="1008"/>
    </row>
    <row r="1005" spans="1:17" hidden="1">
      <c r="A1005" s="966"/>
      <c r="B1005" s="967"/>
      <c r="C1005" s="967">
        <v>969</v>
      </c>
      <c r="D1005" s="967"/>
      <c r="E1005" s="968"/>
      <c r="F1005" s="968"/>
      <c r="G1005" s="968"/>
      <c r="H1005" s="968"/>
      <c r="I1005" s="968"/>
      <c r="J1005" s="968"/>
      <c r="K1005" s="967"/>
      <c r="L1005" s="967"/>
      <c r="M1005" s="967"/>
      <c r="N1005" s="967"/>
      <c r="O1005" s="1007"/>
      <c r="P1005" s="1007"/>
      <c r="Q1005" s="1008"/>
    </row>
    <row r="1006" spans="1:17" hidden="1">
      <c r="A1006" s="966"/>
      <c r="B1006" s="967"/>
      <c r="C1006" s="967">
        <v>970</v>
      </c>
      <c r="D1006" s="967"/>
      <c r="E1006" s="968"/>
      <c r="F1006" s="968"/>
      <c r="G1006" s="968"/>
      <c r="H1006" s="968"/>
      <c r="I1006" s="968"/>
      <c r="J1006" s="968"/>
      <c r="K1006" s="967"/>
      <c r="L1006" s="967"/>
      <c r="M1006" s="967"/>
      <c r="N1006" s="967"/>
      <c r="O1006" s="1007"/>
      <c r="P1006" s="1007"/>
      <c r="Q1006" s="1008"/>
    </row>
    <row r="1007" spans="1:17" hidden="1">
      <c r="A1007" s="966"/>
      <c r="B1007" s="967"/>
      <c r="C1007" s="967">
        <v>971</v>
      </c>
      <c r="D1007" s="967"/>
      <c r="E1007" s="968"/>
      <c r="F1007" s="968"/>
      <c r="G1007" s="968"/>
      <c r="H1007" s="968"/>
      <c r="I1007" s="968"/>
      <c r="J1007" s="968"/>
      <c r="K1007" s="967"/>
      <c r="L1007" s="967"/>
      <c r="M1007" s="967"/>
      <c r="N1007" s="967"/>
      <c r="O1007" s="1007"/>
      <c r="P1007" s="1007"/>
      <c r="Q1007" s="1008"/>
    </row>
    <row r="1008" spans="1:17" hidden="1">
      <c r="A1008" s="966"/>
      <c r="B1008" s="967"/>
      <c r="C1008" s="967">
        <v>972</v>
      </c>
      <c r="D1008" s="967"/>
      <c r="E1008" s="968"/>
      <c r="F1008" s="968"/>
      <c r="G1008" s="968"/>
      <c r="H1008" s="968"/>
      <c r="I1008" s="968"/>
      <c r="J1008" s="968"/>
      <c r="K1008" s="967"/>
      <c r="L1008" s="967"/>
      <c r="M1008" s="967"/>
      <c r="N1008" s="967"/>
      <c r="O1008" s="1007"/>
      <c r="P1008" s="1007"/>
      <c r="Q1008" s="1008"/>
    </row>
    <row r="1009" spans="1:17" hidden="1">
      <c r="A1009" s="966"/>
      <c r="B1009" s="967"/>
      <c r="C1009" s="967">
        <v>973</v>
      </c>
      <c r="D1009" s="967"/>
      <c r="E1009" s="968"/>
      <c r="F1009" s="968"/>
      <c r="G1009" s="968"/>
      <c r="H1009" s="968"/>
      <c r="I1009" s="968"/>
      <c r="J1009" s="968"/>
      <c r="K1009" s="967"/>
      <c r="L1009" s="967"/>
      <c r="M1009" s="967"/>
      <c r="N1009" s="967"/>
      <c r="O1009" s="1007"/>
      <c r="P1009" s="1007"/>
      <c r="Q1009" s="1008"/>
    </row>
    <row r="1010" spans="1:17" hidden="1">
      <c r="A1010" s="966"/>
      <c r="B1010" s="967"/>
      <c r="C1010" s="967">
        <v>974</v>
      </c>
      <c r="D1010" s="967"/>
      <c r="E1010" s="968"/>
      <c r="F1010" s="968"/>
      <c r="G1010" s="968"/>
      <c r="H1010" s="968"/>
      <c r="I1010" s="968"/>
      <c r="J1010" s="968"/>
      <c r="K1010" s="967"/>
      <c r="L1010" s="967"/>
      <c r="M1010" s="967"/>
      <c r="N1010" s="967"/>
      <c r="O1010" s="1007"/>
      <c r="P1010" s="1007"/>
      <c r="Q1010" s="1008"/>
    </row>
    <row r="1011" spans="1:17" hidden="1">
      <c r="A1011" s="966"/>
      <c r="B1011" s="967"/>
      <c r="C1011" s="967">
        <v>975</v>
      </c>
      <c r="D1011" s="967"/>
      <c r="E1011" s="968"/>
      <c r="F1011" s="968"/>
      <c r="G1011" s="968"/>
      <c r="H1011" s="968"/>
      <c r="I1011" s="968"/>
      <c r="J1011" s="968"/>
      <c r="K1011" s="967"/>
      <c r="L1011" s="967"/>
      <c r="M1011" s="967"/>
      <c r="N1011" s="967"/>
      <c r="O1011" s="1007"/>
      <c r="P1011" s="1007"/>
      <c r="Q1011" s="1008"/>
    </row>
    <row r="1012" spans="1:17" hidden="1">
      <c r="A1012" s="966"/>
      <c r="B1012" s="967"/>
      <c r="C1012" s="967">
        <v>976</v>
      </c>
      <c r="D1012" s="967"/>
      <c r="E1012" s="968"/>
      <c r="F1012" s="968"/>
      <c r="G1012" s="968"/>
      <c r="H1012" s="968"/>
      <c r="I1012" s="968"/>
      <c r="J1012" s="968"/>
      <c r="K1012" s="967"/>
      <c r="L1012" s="967"/>
      <c r="M1012" s="967"/>
      <c r="N1012" s="967"/>
      <c r="O1012" s="1007"/>
      <c r="P1012" s="1007"/>
      <c r="Q1012" s="1008"/>
    </row>
    <row r="1013" spans="1:17" hidden="1">
      <c r="A1013" s="966"/>
      <c r="B1013" s="967"/>
      <c r="C1013" s="967">
        <v>977</v>
      </c>
      <c r="D1013" s="967"/>
      <c r="E1013" s="968"/>
      <c r="F1013" s="968"/>
      <c r="G1013" s="968"/>
      <c r="H1013" s="968"/>
      <c r="I1013" s="968"/>
      <c r="J1013" s="968"/>
      <c r="K1013" s="967"/>
      <c r="L1013" s="967"/>
      <c r="M1013" s="967"/>
      <c r="N1013" s="967"/>
      <c r="O1013" s="1007"/>
      <c r="P1013" s="1007"/>
      <c r="Q1013" s="1008"/>
    </row>
    <row r="1014" spans="1:17" hidden="1">
      <c r="A1014" s="966"/>
      <c r="B1014" s="967"/>
      <c r="C1014" s="967">
        <v>978</v>
      </c>
      <c r="D1014" s="967"/>
      <c r="E1014" s="968"/>
      <c r="F1014" s="968"/>
      <c r="G1014" s="968"/>
      <c r="H1014" s="968"/>
      <c r="I1014" s="968"/>
      <c r="J1014" s="968"/>
      <c r="K1014" s="967"/>
      <c r="L1014" s="967"/>
      <c r="M1014" s="967"/>
      <c r="N1014" s="967"/>
      <c r="O1014" s="1007"/>
      <c r="P1014" s="1007"/>
      <c r="Q1014" s="1008"/>
    </row>
    <row r="1015" spans="1:17" hidden="1">
      <c r="A1015" s="966"/>
      <c r="B1015" s="967"/>
      <c r="C1015" s="967">
        <v>979</v>
      </c>
      <c r="D1015" s="967"/>
      <c r="E1015" s="968"/>
      <c r="F1015" s="968"/>
      <c r="G1015" s="968"/>
      <c r="H1015" s="968"/>
      <c r="I1015" s="968"/>
      <c r="J1015" s="968"/>
      <c r="K1015" s="967"/>
      <c r="L1015" s="967"/>
      <c r="M1015" s="967"/>
      <c r="N1015" s="967"/>
      <c r="O1015" s="1007"/>
      <c r="P1015" s="1007"/>
      <c r="Q1015" s="1008"/>
    </row>
    <row r="1016" spans="1:17" hidden="1">
      <c r="A1016" s="966"/>
      <c r="B1016" s="967"/>
      <c r="C1016" s="967">
        <v>980</v>
      </c>
      <c r="D1016" s="967"/>
      <c r="E1016" s="968"/>
      <c r="F1016" s="968"/>
      <c r="G1016" s="968"/>
      <c r="H1016" s="968"/>
      <c r="I1016" s="968"/>
      <c r="J1016" s="968"/>
      <c r="K1016" s="967"/>
      <c r="L1016" s="967"/>
      <c r="M1016" s="967"/>
      <c r="N1016" s="967"/>
      <c r="O1016" s="1007"/>
      <c r="P1016" s="1007"/>
      <c r="Q1016" s="1008"/>
    </row>
    <row r="1017" spans="1:17" hidden="1">
      <c r="A1017" s="966"/>
      <c r="B1017" s="967"/>
      <c r="C1017" s="967">
        <v>981</v>
      </c>
      <c r="D1017" s="967"/>
      <c r="E1017" s="968"/>
      <c r="F1017" s="968"/>
      <c r="G1017" s="968"/>
      <c r="H1017" s="968"/>
      <c r="I1017" s="968"/>
      <c r="J1017" s="968"/>
      <c r="K1017" s="967"/>
      <c r="L1017" s="967"/>
      <c r="M1017" s="967"/>
      <c r="N1017" s="967"/>
      <c r="O1017" s="1007"/>
      <c r="P1017" s="1007"/>
      <c r="Q1017" s="1008"/>
    </row>
    <row r="1018" spans="1:17" hidden="1">
      <c r="A1018" s="966"/>
      <c r="B1018" s="967"/>
      <c r="C1018" s="967">
        <v>982</v>
      </c>
      <c r="D1018" s="967"/>
      <c r="E1018" s="968"/>
      <c r="F1018" s="968"/>
      <c r="G1018" s="968"/>
      <c r="H1018" s="968"/>
      <c r="I1018" s="968"/>
      <c r="J1018" s="968"/>
      <c r="K1018" s="967"/>
      <c r="L1018" s="967"/>
      <c r="M1018" s="967"/>
      <c r="N1018" s="967"/>
      <c r="O1018" s="1007"/>
      <c r="P1018" s="1007"/>
      <c r="Q1018" s="1008"/>
    </row>
    <row r="1019" spans="1:17" hidden="1">
      <c r="A1019" s="966"/>
      <c r="B1019" s="967"/>
      <c r="C1019" s="967">
        <v>983</v>
      </c>
      <c r="D1019" s="967"/>
      <c r="E1019" s="968"/>
      <c r="F1019" s="968"/>
      <c r="G1019" s="968"/>
      <c r="H1019" s="968"/>
      <c r="I1019" s="968"/>
      <c r="J1019" s="968"/>
      <c r="K1019" s="967"/>
      <c r="L1019" s="967"/>
      <c r="M1019" s="967"/>
      <c r="N1019" s="967"/>
      <c r="O1019" s="1007"/>
      <c r="P1019" s="1007"/>
      <c r="Q1019" s="1008"/>
    </row>
    <row r="1020" spans="1:17" hidden="1">
      <c r="A1020" s="966"/>
      <c r="B1020" s="967"/>
      <c r="C1020" s="967">
        <v>984</v>
      </c>
      <c r="D1020" s="967"/>
      <c r="E1020" s="968"/>
      <c r="F1020" s="968"/>
      <c r="G1020" s="968"/>
      <c r="H1020" s="968"/>
      <c r="I1020" s="968"/>
      <c r="J1020" s="968"/>
      <c r="K1020" s="967"/>
      <c r="L1020" s="967"/>
      <c r="M1020" s="967"/>
      <c r="N1020" s="967"/>
      <c r="O1020" s="1007"/>
      <c r="P1020" s="1007"/>
      <c r="Q1020" s="1008"/>
    </row>
    <row r="1021" spans="1:17" hidden="1">
      <c r="A1021" s="966"/>
      <c r="B1021" s="967"/>
      <c r="C1021" s="967">
        <v>985</v>
      </c>
      <c r="D1021" s="967"/>
      <c r="E1021" s="968"/>
      <c r="F1021" s="968"/>
      <c r="G1021" s="968"/>
      <c r="H1021" s="968"/>
      <c r="I1021" s="968"/>
      <c r="J1021" s="968"/>
      <c r="K1021" s="967"/>
      <c r="L1021" s="967"/>
      <c r="M1021" s="967"/>
      <c r="N1021" s="967"/>
      <c r="O1021" s="1007"/>
      <c r="P1021" s="1007"/>
      <c r="Q1021" s="1008"/>
    </row>
    <row r="1022" spans="1:17" hidden="1">
      <c r="A1022" s="966"/>
      <c r="B1022" s="967"/>
      <c r="C1022" s="967">
        <v>986</v>
      </c>
      <c r="D1022" s="967"/>
      <c r="E1022" s="968"/>
      <c r="F1022" s="968"/>
      <c r="G1022" s="968"/>
      <c r="H1022" s="968"/>
      <c r="I1022" s="968"/>
      <c r="J1022" s="968"/>
      <c r="K1022" s="967"/>
      <c r="L1022" s="967"/>
      <c r="M1022" s="967"/>
      <c r="N1022" s="967"/>
      <c r="O1022" s="1007"/>
      <c r="P1022" s="1007"/>
      <c r="Q1022" s="1008"/>
    </row>
    <row r="1023" spans="1:17" hidden="1">
      <c r="A1023" s="966"/>
      <c r="B1023" s="967"/>
      <c r="C1023" s="967">
        <v>987</v>
      </c>
      <c r="D1023" s="967"/>
      <c r="E1023" s="968"/>
      <c r="F1023" s="968"/>
      <c r="G1023" s="968"/>
      <c r="H1023" s="968"/>
      <c r="I1023" s="968"/>
      <c r="J1023" s="968"/>
      <c r="K1023" s="967"/>
      <c r="L1023" s="967"/>
      <c r="M1023" s="967"/>
      <c r="N1023" s="967"/>
      <c r="O1023" s="1007"/>
      <c r="P1023" s="1007"/>
      <c r="Q1023" s="1008"/>
    </row>
    <row r="1024" spans="1:17" hidden="1">
      <c r="A1024" s="966"/>
      <c r="B1024" s="967"/>
      <c r="C1024" s="967">
        <v>988</v>
      </c>
      <c r="D1024" s="967"/>
      <c r="E1024" s="968"/>
      <c r="F1024" s="968"/>
      <c r="G1024" s="968"/>
      <c r="H1024" s="968"/>
      <c r="I1024" s="968"/>
      <c r="J1024" s="968"/>
      <c r="K1024" s="967"/>
      <c r="L1024" s="967"/>
      <c r="M1024" s="967"/>
      <c r="N1024" s="967"/>
      <c r="O1024" s="1007"/>
      <c r="P1024" s="1007"/>
      <c r="Q1024" s="1008"/>
    </row>
    <row r="1025" spans="1:17" hidden="1">
      <c r="A1025" s="966"/>
      <c r="B1025" s="967"/>
      <c r="C1025" s="967">
        <v>989</v>
      </c>
      <c r="D1025" s="967"/>
      <c r="E1025" s="968"/>
      <c r="F1025" s="968"/>
      <c r="G1025" s="968"/>
      <c r="H1025" s="968"/>
      <c r="I1025" s="968"/>
      <c r="J1025" s="968"/>
      <c r="K1025" s="967"/>
      <c r="L1025" s="967"/>
      <c r="M1025" s="967"/>
      <c r="N1025" s="967"/>
      <c r="O1025" s="1007"/>
      <c r="P1025" s="1007"/>
      <c r="Q1025" s="1008"/>
    </row>
    <row r="1026" spans="1:17" hidden="1">
      <c r="A1026" s="966"/>
      <c r="B1026" s="967"/>
      <c r="C1026" s="967">
        <v>990</v>
      </c>
      <c r="D1026" s="967"/>
      <c r="E1026" s="968"/>
      <c r="F1026" s="968"/>
      <c r="G1026" s="968"/>
      <c r="H1026" s="968"/>
      <c r="I1026" s="968"/>
      <c r="J1026" s="968"/>
      <c r="K1026" s="967"/>
      <c r="L1026" s="967"/>
      <c r="M1026" s="967"/>
      <c r="N1026" s="967"/>
      <c r="O1026" s="1007"/>
      <c r="P1026" s="1007"/>
      <c r="Q1026" s="1008"/>
    </row>
    <row r="1027" spans="1:17" hidden="1">
      <c r="A1027" s="966"/>
      <c r="B1027" s="967"/>
      <c r="C1027" s="967">
        <v>991</v>
      </c>
      <c r="D1027" s="967"/>
      <c r="E1027" s="968"/>
      <c r="F1027" s="968"/>
      <c r="G1027" s="968"/>
      <c r="H1027" s="968"/>
      <c r="I1027" s="968"/>
      <c r="J1027" s="968"/>
      <c r="K1027" s="967"/>
      <c r="L1027" s="967"/>
      <c r="M1027" s="967"/>
      <c r="N1027" s="967"/>
      <c r="O1027" s="1007"/>
      <c r="P1027" s="1007"/>
      <c r="Q1027" s="1008"/>
    </row>
    <row r="1028" spans="1:17" hidden="1">
      <c r="A1028" s="966"/>
      <c r="B1028" s="967"/>
      <c r="C1028" s="967">
        <v>992</v>
      </c>
      <c r="D1028" s="967"/>
      <c r="E1028" s="968"/>
      <c r="F1028" s="968"/>
      <c r="G1028" s="968"/>
      <c r="H1028" s="968"/>
      <c r="I1028" s="968"/>
      <c r="J1028" s="968"/>
      <c r="K1028" s="967"/>
      <c r="L1028" s="967"/>
      <c r="M1028" s="967"/>
      <c r="N1028" s="967"/>
      <c r="O1028" s="1007"/>
      <c r="P1028" s="1007"/>
      <c r="Q1028" s="1008"/>
    </row>
    <row r="1029" spans="1:17" hidden="1">
      <c r="A1029" s="966"/>
      <c r="B1029" s="967"/>
      <c r="C1029" s="967">
        <v>993</v>
      </c>
      <c r="D1029" s="967"/>
      <c r="E1029" s="968"/>
      <c r="F1029" s="968"/>
      <c r="G1029" s="968"/>
      <c r="H1029" s="968"/>
      <c r="I1029" s="968"/>
      <c r="J1029" s="968"/>
      <c r="K1029" s="967"/>
      <c r="L1029" s="967"/>
      <c r="M1029" s="967"/>
      <c r="N1029" s="967"/>
      <c r="O1029" s="1007"/>
      <c r="P1029" s="1007"/>
      <c r="Q1029" s="1008"/>
    </row>
    <row r="1030" spans="1:17" hidden="1">
      <c r="A1030" s="966"/>
      <c r="B1030" s="967"/>
      <c r="C1030" s="967">
        <v>994</v>
      </c>
      <c r="D1030" s="967"/>
      <c r="E1030" s="968"/>
      <c r="F1030" s="968"/>
      <c r="G1030" s="968"/>
      <c r="H1030" s="968"/>
      <c r="I1030" s="968"/>
      <c r="J1030" s="968"/>
      <c r="K1030" s="967"/>
      <c r="L1030" s="967"/>
      <c r="M1030" s="967"/>
      <c r="N1030" s="967"/>
      <c r="O1030" s="1007"/>
      <c r="P1030" s="1007"/>
      <c r="Q1030" s="1008"/>
    </row>
    <row r="1031" spans="1:17" hidden="1">
      <c r="A1031" s="966"/>
      <c r="B1031" s="967"/>
      <c r="C1031" s="967">
        <v>995</v>
      </c>
      <c r="D1031" s="967"/>
      <c r="E1031" s="968"/>
      <c r="F1031" s="968"/>
      <c r="G1031" s="968"/>
      <c r="H1031" s="968"/>
      <c r="I1031" s="968"/>
      <c r="J1031" s="968"/>
      <c r="K1031" s="967"/>
      <c r="L1031" s="967"/>
      <c r="M1031" s="967"/>
      <c r="N1031" s="967"/>
      <c r="O1031" s="1007"/>
      <c r="P1031" s="1007"/>
      <c r="Q1031" s="1008"/>
    </row>
    <row r="1032" spans="1:17" ht="17" hidden="1" thickBot="1">
      <c r="A1032" s="1024"/>
      <c r="B1032" s="964"/>
      <c r="C1032" s="964"/>
      <c r="D1032" s="964"/>
      <c r="E1032" s="1025"/>
      <c r="F1032" s="1025"/>
      <c r="G1032" s="1025"/>
      <c r="H1032" s="1025"/>
      <c r="I1032" s="1025"/>
      <c r="J1032" s="1025"/>
      <c r="K1032" s="964"/>
      <c r="L1032" s="964"/>
      <c r="M1032" s="964"/>
      <c r="N1032" s="964"/>
      <c r="O1032" s="1026"/>
      <c r="P1032" s="1026"/>
      <c r="Q1032" s="1027"/>
    </row>
  </sheetData>
  <mergeCells count="20">
    <mergeCell ref="O10:Q10"/>
    <mergeCell ref="O11:Q11"/>
    <mergeCell ref="O12:Q12"/>
    <mergeCell ref="A1:Q1"/>
    <mergeCell ref="C3:M3"/>
    <mergeCell ref="C4:M4"/>
    <mergeCell ref="A6:Q7"/>
    <mergeCell ref="O9:Q9"/>
    <mergeCell ref="A15:Q15"/>
    <mergeCell ref="A17:D17"/>
    <mergeCell ref="A19:A20"/>
    <mergeCell ref="E89:G89"/>
    <mergeCell ref="A24:Q24"/>
    <mergeCell ref="A26:Q27"/>
    <mergeCell ref="A29:G29"/>
    <mergeCell ref="I29:M29"/>
    <mergeCell ref="A32:G32"/>
    <mergeCell ref="C35:G35"/>
    <mergeCell ref="A21:C21"/>
    <mergeCell ref="G21:K21"/>
  </mergeCells>
  <phoneticPr fontId="51" type="noConversion"/>
  <dataValidations disablePrompts="1" count="4">
    <dataValidation type="list" allowBlank="1" showInputMessage="1" showErrorMessage="1" sqref="I10:I12" xr:uid="{00000000-0002-0000-2400-000000000000}">
      <formula1>$C$37:$C$1031</formula1>
    </dataValidation>
    <dataValidation type="list" allowBlank="1" showInputMessage="1" showErrorMessage="1" sqref="G10:G12" xr:uid="{00000000-0002-0000-2400-000001000000}">
      <formula1>$G$36:$G$51</formula1>
    </dataValidation>
    <dataValidation type="list" allowBlank="1" showInputMessage="1" showErrorMessage="1" sqref="E10:F12" xr:uid="{00000000-0002-0000-2400-000002000000}">
      <formula1>$E$36:$E$86</formula1>
    </dataValidation>
    <dataValidation type="list" allowBlank="1" showInputMessage="1" showErrorMessage="1" sqref="H10:H12 J10:J12" xr:uid="{00000000-0002-0000-2400-000003000000}">
      <formula1>#REF!</formula1>
    </dataValidation>
  </dataValidations>
  <pageMargins left="0.7" right="0.7" top="1.25" bottom="0.75" header="0.3" footer="0.3"/>
  <pageSetup scale="58" fitToHeight="12" orientation="landscape" r:id="rId1"/>
  <headerFooter alignWithMargins="0">
    <oddHeader>&amp;C&amp;G</oddHeader>
    <oddFooter>&amp;CPage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2769" r:id="rId5" name="Check Box 1">
              <controlPr defaultSize="0" autoFill="0" autoLine="0" autoPict="0">
                <anchor moveWithCells="1">
                  <from>
                    <xdr:col>12</xdr:col>
                    <xdr:colOff>1384300</xdr:colOff>
                    <xdr:row>13</xdr:row>
                    <xdr:rowOff>50800</xdr:rowOff>
                  </from>
                  <to>
                    <xdr:col>12</xdr:col>
                    <xdr:colOff>1892300</xdr:colOff>
                    <xdr:row>16</xdr:row>
                    <xdr:rowOff>139700</xdr:rowOff>
                  </to>
                </anchor>
              </controlPr>
            </control>
          </mc:Choice>
        </mc:AlternateContent>
        <mc:AlternateContent xmlns:mc="http://schemas.openxmlformats.org/markup-compatibility/2006">
          <mc:Choice Requires="x14">
            <control shapeId="32770" r:id="rId6" name="Check Box 2">
              <controlPr defaultSize="0" autoFill="0" autoLine="0" autoPict="0">
                <anchor moveWithCells="1">
                  <from>
                    <xdr:col>12</xdr:col>
                    <xdr:colOff>673100</xdr:colOff>
                    <xdr:row>13</xdr:row>
                    <xdr:rowOff>76200</xdr:rowOff>
                  </from>
                  <to>
                    <xdr:col>12</xdr:col>
                    <xdr:colOff>1257300</xdr:colOff>
                    <xdr:row>16</xdr:row>
                    <xdr:rowOff>114300</xdr:rowOff>
                  </to>
                </anchor>
              </controlPr>
            </control>
          </mc:Choice>
        </mc:AlternateContent>
      </controls>
    </mc:Choice>
  </mc:AlternateConten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7"/>
  <dimension ref="A1:AQ89"/>
  <sheetViews>
    <sheetView topLeftCell="N1" workbookViewId="0">
      <pane ySplit="9" topLeftCell="A10" activePane="bottomLeft" state="frozen"/>
      <selection pane="bottomLeft" activeCell="AN38" sqref="AN38"/>
    </sheetView>
  </sheetViews>
  <sheetFormatPr baseColWidth="10" defaultColWidth="8.83203125" defaultRowHeight="13"/>
  <cols>
    <col min="1" max="1" width="3.6640625" customWidth="1"/>
    <col min="2" max="2" width="9.83203125" bestFit="1" customWidth="1"/>
  </cols>
  <sheetData>
    <row r="1" spans="1:43" ht="16">
      <c r="B1" s="1749" t="s">
        <v>1262</v>
      </c>
      <c r="C1" s="1749"/>
      <c r="D1" s="1749"/>
      <c r="E1" s="1749"/>
      <c r="F1" s="1749"/>
      <c r="G1" s="1749"/>
      <c r="H1" s="1749"/>
      <c r="I1" s="1749"/>
      <c r="J1" s="1749"/>
      <c r="K1" s="1749"/>
      <c r="L1" s="1749"/>
      <c r="M1" s="1749"/>
      <c r="N1" s="1749"/>
      <c r="O1" s="1749"/>
      <c r="P1" s="1749"/>
      <c r="Q1" s="1749"/>
      <c r="R1" s="1749"/>
      <c r="S1" s="1749"/>
      <c r="T1" s="1749"/>
      <c r="U1" s="1749"/>
      <c r="V1" s="1749"/>
      <c r="W1" s="1749"/>
      <c r="X1" s="1749"/>
      <c r="Y1" s="1749"/>
      <c r="Z1" s="1749"/>
      <c r="AA1" s="1749"/>
      <c r="AB1" s="1749"/>
      <c r="AC1" s="1749"/>
      <c r="AD1" s="1749"/>
      <c r="AE1" s="1749"/>
      <c r="AF1" s="1749"/>
    </row>
    <row r="2" spans="1:43">
      <c r="B2" s="1750" t="s">
        <v>743</v>
      </c>
      <c r="C2" s="1750"/>
      <c r="D2" s="1750"/>
      <c r="E2" s="1750"/>
      <c r="F2" s="1750"/>
      <c r="G2" s="1750"/>
      <c r="H2" s="1750"/>
      <c r="I2" s="1750"/>
      <c r="J2" s="1750"/>
      <c r="K2" s="1750"/>
      <c r="L2" s="1750"/>
      <c r="M2" s="1750"/>
      <c r="N2" s="1750"/>
      <c r="O2" s="1750"/>
      <c r="P2" s="1750"/>
      <c r="Q2" s="1750"/>
      <c r="R2" s="1750"/>
      <c r="S2" s="1750"/>
      <c r="T2" s="1750"/>
      <c r="U2" s="1750"/>
      <c r="V2" s="1750"/>
      <c r="W2" s="1750"/>
      <c r="X2" s="1750"/>
      <c r="Y2" s="1750"/>
      <c r="Z2" s="1750"/>
      <c r="AA2" s="1750"/>
      <c r="AB2" s="1750"/>
      <c r="AC2" s="1750"/>
      <c r="AD2" s="1750"/>
      <c r="AE2" s="1750"/>
      <c r="AF2" s="1750"/>
    </row>
    <row r="3" spans="1:43">
      <c r="B3" s="14">
        <v>40883</v>
      </c>
      <c r="F3" s="13"/>
      <c r="G3" s="7"/>
      <c r="K3" s="13"/>
      <c r="L3" s="7"/>
      <c r="P3" s="13"/>
      <c r="Q3" s="7"/>
      <c r="U3" s="13"/>
      <c r="V3" s="7"/>
      <c r="Z3" s="13"/>
      <c r="AA3" s="7"/>
      <c r="AF3" s="7"/>
    </row>
    <row r="4" spans="1:43">
      <c r="F4" s="13"/>
      <c r="G4" s="7"/>
      <c r="K4" s="13"/>
      <c r="L4" s="7"/>
      <c r="P4" s="13"/>
      <c r="Q4" s="7"/>
      <c r="U4" s="13"/>
      <c r="V4" s="7"/>
      <c r="Z4" s="13"/>
      <c r="AA4" s="7"/>
      <c r="AF4" s="7"/>
    </row>
    <row r="5" spans="1:43">
      <c r="E5" t="s">
        <v>1597</v>
      </c>
      <c r="F5" s="1751" t="s">
        <v>1597</v>
      </c>
      <c r="G5" s="1751"/>
      <c r="J5" t="s">
        <v>1598</v>
      </c>
      <c r="K5" s="1751" t="s">
        <v>1598</v>
      </c>
      <c r="L5" s="1751"/>
      <c r="O5" t="s">
        <v>1599</v>
      </c>
      <c r="P5" s="1751" t="s">
        <v>1599</v>
      </c>
      <c r="Q5" s="1751"/>
      <c r="T5" t="s">
        <v>1600</v>
      </c>
      <c r="U5" s="1751" t="s">
        <v>1600</v>
      </c>
      <c r="V5" s="1751"/>
      <c r="Y5" t="s">
        <v>1601</v>
      </c>
      <c r="Z5" s="1751" t="s">
        <v>1601</v>
      </c>
      <c r="AA5" s="1751"/>
      <c r="AE5" t="s">
        <v>1602</v>
      </c>
      <c r="AF5" s="8" t="s">
        <v>1603</v>
      </c>
    </row>
    <row r="6" spans="1:43">
      <c r="F6" s="13"/>
      <c r="G6" s="7"/>
      <c r="K6" s="13"/>
      <c r="L6" s="7"/>
      <c r="P6" s="13"/>
      <c r="Q6" s="7"/>
      <c r="U6" s="13"/>
      <c r="V6" s="7"/>
      <c r="Z6" s="13"/>
      <c r="AA6" s="7"/>
      <c r="AF6" s="7"/>
    </row>
    <row r="7" spans="1:43">
      <c r="F7" s="13" t="s">
        <v>1604</v>
      </c>
      <c r="G7" s="8" t="s">
        <v>369</v>
      </c>
      <c r="K7" s="13" t="s">
        <v>1604</v>
      </c>
      <c r="L7" s="8" t="s">
        <v>369</v>
      </c>
      <c r="P7" s="13" t="s">
        <v>1604</v>
      </c>
      <c r="Q7" s="8" t="s">
        <v>369</v>
      </c>
      <c r="U7" s="13" t="s">
        <v>1604</v>
      </c>
      <c r="V7" s="8" t="s">
        <v>369</v>
      </c>
      <c r="Z7" s="13" t="s">
        <v>1604</v>
      </c>
      <c r="AA7" s="8" t="s">
        <v>369</v>
      </c>
      <c r="AF7" s="8" t="s">
        <v>369</v>
      </c>
      <c r="AI7" t="s">
        <v>1574</v>
      </c>
    </row>
    <row r="8" spans="1:43">
      <c r="B8" t="s">
        <v>1569</v>
      </c>
      <c r="D8">
        <v>1</v>
      </c>
      <c r="E8" t="s">
        <v>1566</v>
      </c>
      <c r="F8" s="13" t="s">
        <v>1567</v>
      </c>
      <c r="G8" s="8" t="s">
        <v>1567</v>
      </c>
      <c r="I8">
        <v>2</v>
      </c>
      <c r="J8" t="s">
        <v>1566</v>
      </c>
      <c r="K8" s="13" t="s">
        <v>1567</v>
      </c>
      <c r="L8" s="8" t="s">
        <v>1567</v>
      </c>
      <c r="N8">
        <v>3</v>
      </c>
      <c r="O8" t="s">
        <v>1566</v>
      </c>
      <c r="P8" s="13" t="s">
        <v>1567</v>
      </c>
      <c r="Q8" s="8" t="s">
        <v>1567</v>
      </c>
      <c r="S8">
        <v>4</v>
      </c>
      <c r="T8" t="s">
        <v>1566</v>
      </c>
      <c r="U8" s="13" t="s">
        <v>1567</v>
      </c>
      <c r="V8" s="8" t="s">
        <v>1567</v>
      </c>
      <c r="X8">
        <v>5</v>
      </c>
      <c r="Y8" t="s">
        <v>1566</v>
      </c>
      <c r="Z8" s="13" t="s">
        <v>1567</v>
      </c>
      <c r="AA8" s="8" t="s">
        <v>1567</v>
      </c>
      <c r="AB8">
        <v>6</v>
      </c>
      <c r="AC8">
        <v>7</v>
      </c>
      <c r="AE8" t="s">
        <v>1566</v>
      </c>
      <c r="AF8" s="8" t="s">
        <v>1567</v>
      </c>
      <c r="AG8">
        <v>8</v>
      </c>
      <c r="AI8" t="s">
        <v>1575</v>
      </c>
      <c r="AJ8">
        <v>1</v>
      </c>
      <c r="AK8">
        <v>2</v>
      </c>
      <c r="AL8">
        <v>3</v>
      </c>
      <c r="AM8">
        <v>4</v>
      </c>
    </row>
    <row r="9" spans="1:43">
      <c r="F9" s="13"/>
      <c r="G9" s="7"/>
      <c r="K9" s="13"/>
      <c r="L9" s="7"/>
      <c r="P9" s="13"/>
      <c r="Q9" s="7"/>
      <c r="U9" s="13"/>
      <c r="V9" s="7"/>
      <c r="Z9" s="13"/>
      <c r="AA9" s="7"/>
      <c r="AF9" s="7"/>
    </row>
    <row r="10" spans="1:43">
      <c r="B10" t="s">
        <v>1461</v>
      </c>
      <c r="D10" s="16">
        <v>16800</v>
      </c>
      <c r="E10">
        <f>+D10</f>
        <v>16800</v>
      </c>
      <c r="F10" s="15">
        <f>+AI10</f>
        <v>455</v>
      </c>
      <c r="G10" s="7">
        <f>+(E10*0.3)/12</f>
        <v>420</v>
      </c>
      <c r="I10" s="16">
        <v>19200</v>
      </c>
      <c r="J10">
        <f t="shared" ref="J10:J73" si="0">+(I10+D10)/2</f>
        <v>18000</v>
      </c>
      <c r="K10" s="15">
        <f>+AJ10</f>
        <v>455</v>
      </c>
      <c r="L10" s="7">
        <f>+(J10*0.3)/12</f>
        <v>450</v>
      </c>
      <c r="N10" s="16">
        <v>21600</v>
      </c>
      <c r="O10">
        <f>+N10</f>
        <v>21600</v>
      </c>
      <c r="P10" s="15">
        <f>+AK10</f>
        <v>554</v>
      </c>
      <c r="Q10" s="7">
        <f>+(O10*0.3)/12</f>
        <v>540</v>
      </c>
      <c r="S10" s="16">
        <v>24000</v>
      </c>
      <c r="T10">
        <f>+(S10+X10)/2</f>
        <v>24975</v>
      </c>
      <c r="U10" s="15">
        <f>+AL10</f>
        <v>700</v>
      </c>
      <c r="V10" s="7">
        <f>+(T10*0.3)/12</f>
        <v>624.375</v>
      </c>
      <c r="X10" s="16">
        <v>25950</v>
      </c>
      <c r="Y10">
        <f>+AB10</f>
        <v>27850</v>
      </c>
      <c r="Z10" s="15">
        <f>+AM10</f>
        <v>803</v>
      </c>
      <c r="AA10" s="7">
        <f>+(Y10*0.3)/12</f>
        <v>696.25</v>
      </c>
      <c r="AB10" s="16">
        <v>27850</v>
      </c>
      <c r="AC10" s="16">
        <v>29800</v>
      </c>
      <c r="AE10">
        <f>+(AC10+AG10)/2</f>
        <v>30750</v>
      </c>
      <c r="AF10" s="7">
        <f>+(AE10*0.3)/12</f>
        <v>768.75</v>
      </c>
      <c r="AG10" s="16">
        <v>31700</v>
      </c>
      <c r="AI10" s="16">
        <v>455</v>
      </c>
      <c r="AJ10" s="16">
        <v>455</v>
      </c>
      <c r="AK10" s="16">
        <v>554</v>
      </c>
      <c r="AL10" s="16">
        <v>700</v>
      </c>
      <c r="AM10" s="16">
        <v>803</v>
      </c>
      <c r="AP10" s="16">
        <v>15950</v>
      </c>
    </row>
    <row r="11" spans="1:43">
      <c r="B11" t="s">
        <v>1462</v>
      </c>
      <c r="D11" s="16">
        <v>16800</v>
      </c>
      <c r="E11">
        <f t="shared" ref="E11:E73" si="1">+D11</f>
        <v>16800</v>
      </c>
      <c r="F11" s="15">
        <f>+AI11</f>
        <v>459</v>
      </c>
      <c r="G11" s="7">
        <f t="shared" ref="G11:G73" si="2">+(E11*0.3)/12</f>
        <v>420</v>
      </c>
      <c r="I11" s="16">
        <v>19200</v>
      </c>
      <c r="J11">
        <f t="shared" si="0"/>
        <v>18000</v>
      </c>
      <c r="K11" s="15">
        <f>+AJ11</f>
        <v>461</v>
      </c>
      <c r="L11" s="7">
        <f t="shared" ref="L11:L73" si="3">+(J11*0.3)/12</f>
        <v>450</v>
      </c>
      <c r="N11" s="16">
        <v>21600</v>
      </c>
      <c r="O11">
        <f t="shared" ref="O11:O73" si="4">+N11</f>
        <v>21600</v>
      </c>
      <c r="P11" s="15">
        <f>+AK11</f>
        <v>554</v>
      </c>
      <c r="Q11" s="7">
        <f t="shared" ref="Q11:Q73" si="5">+(O11*0.3)/12</f>
        <v>540</v>
      </c>
      <c r="S11" s="16">
        <v>24000</v>
      </c>
      <c r="T11">
        <f t="shared" ref="T11:T73" si="6">+(S11+X11)/2</f>
        <v>24975</v>
      </c>
      <c r="U11" s="15">
        <f>+AL11</f>
        <v>805</v>
      </c>
      <c r="V11" s="7">
        <f t="shared" ref="V11:V73" si="7">+(T11*0.3)/12</f>
        <v>624.375</v>
      </c>
      <c r="X11" s="16">
        <v>25950</v>
      </c>
      <c r="Y11">
        <f t="shared" ref="Y11:Y73" si="8">+AB11</f>
        <v>27850</v>
      </c>
      <c r="Z11" s="15">
        <f>+AM11</f>
        <v>894</v>
      </c>
      <c r="AA11" s="7">
        <f t="shared" ref="AA11:AA73" si="9">+(Y11*0.3)/12</f>
        <v>696.25</v>
      </c>
      <c r="AB11" s="16">
        <v>27850</v>
      </c>
      <c r="AC11" s="16">
        <v>29800</v>
      </c>
      <c r="AE11">
        <f t="shared" ref="AE11:AE73" si="10">+(AC11+AG11)/2</f>
        <v>30750</v>
      </c>
      <c r="AF11" s="7">
        <f t="shared" ref="AF11:AF73" si="11">+(AE11*0.3)/12</f>
        <v>768.75</v>
      </c>
      <c r="AG11" s="16">
        <v>31700</v>
      </c>
      <c r="AI11" s="16">
        <v>459</v>
      </c>
      <c r="AJ11" s="16">
        <v>461</v>
      </c>
      <c r="AK11" s="16">
        <v>554</v>
      </c>
      <c r="AL11" s="16">
        <v>805</v>
      </c>
      <c r="AM11" s="16">
        <v>894</v>
      </c>
      <c r="AP11" s="16">
        <v>14050</v>
      </c>
    </row>
    <row r="12" spans="1:43">
      <c r="B12" t="s">
        <v>1463</v>
      </c>
      <c r="D12" s="16">
        <v>22650</v>
      </c>
      <c r="E12">
        <f t="shared" si="1"/>
        <v>22650</v>
      </c>
      <c r="F12" s="15">
        <f t="shared" ref="F12:F73" si="12">+AI12</f>
        <v>638</v>
      </c>
      <c r="G12" s="7">
        <f t="shared" si="2"/>
        <v>566.25</v>
      </c>
      <c r="I12" s="16">
        <v>25850</v>
      </c>
      <c r="J12">
        <f t="shared" si="0"/>
        <v>24250</v>
      </c>
      <c r="K12" s="15">
        <f t="shared" ref="K12:K73" si="13">+AJ12</f>
        <v>694</v>
      </c>
      <c r="L12" s="7">
        <f t="shared" si="3"/>
        <v>606.25</v>
      </c>
      <c r="N12" s="16">
        <v>29100</v>
      </c>
      <c r="O12">
        <f t="shared" si="4"/>
        <v>29100</v>
      </c>
      <c r="P12" s="15">
        <f t="shared" ref="P12:P73" si="14">+AK12</f>
        <v>801</v>
      </c>
      <c r="Q12" s="7">
        <f t="shared" si="5"/>
        <v>727.5</v>
      </c>
      <c r="S12" s="16">
        <v>32300</v>
      </c>
      <c r="T12">
        <f t="shared" si="6"/>
        <v>33600</v>
      </c>
      <c r="U12" s="15">
        <f>+AL12</f>
        <v>1021</v>
      </c>
      <c r="V12" s="7">
        <f t="shared" si="7"/>
        <v>840</v>
      </c>
      <c r="X12" s="16">
        <v>34900</v>
      </c>
      <c r="Y12">
        <f t="shared" si="8"/>
        <v>37500</v>
      </c>
      <c r="Z12" s="15">
        <f>+AM12</f>
        <v>1123</v>
      </c>
      <c r="AA12" s="7">
        <f t="shared" si="9"/>
        <v>937.5</v>
      </c>
      <c r="AB12" s="16">
        <v>37500</v>
      </c>
      <c r="AC12" s="16">
        <v>40100</v>
      </c>
      <c r="AE12">
        <f t="shared" si="10"/>
        <v>41375</v>
      </c>
      <c r="AF12" s="7">
        <f t="shared" si="11"/>
        <v>1034.375</v>
      </c>
      <c r="AG12" s="16">
        <v>42650</v>
      </c>
      <c r="AI12" s="16">
        <v>638</v>
      </c>
      <c r="AJ12" s="16">
        <v>694</v>
      </c>
      <c r="AK12" s="16">
        <v>801</v>
      </c>
      <c r="AL12" s="16">
        <v>1021</v>
      </c>
      <c r="AM12" s="16">
        <v>1123</v>
      </c>
      <c r="AP12" s="16">
        <v>19200</v>
      </c>
    </row>
    <row r="13" spans="1:43">
      <c r="B13" t="s">
        <v>1464</v>
      </c>
      <c r="D13" s="16">
        <v>19250</v>
      </c>
      <c r="E13">
        <f t="shared" si="1"/>
        <v>19250</v>
      </c>
      <c r="F13" s="15">
        <f t="shared" si="12"/>
        <v>520</v>
      </c>
      <c r="G13" s="7">
        <f t="shared" si="2"/>
        <v>481.25</v>
      </c>
      <c r="I13" s="16">
        <v>22000</v>
      </c>
      <c r="J13">
        <f t="shared" si="0"/>
        <v>20625</v>
      </c>
      <c r="K13" s="15">
        <f t="shared" si="13"/>
        <v>522</v>
      </c>
      <c r="L13" s="7">
        <f t="shared" si="3"/>
        <v>515.625</v>
      </c>
      <c r="N13" s="16">
        <v>24750</v>
      </c>
      <c r="O13">
        <f t="shared" si="4"/>
        <v>24750</v>
      </c>
      <c r="P13" s="15">
        <f t="shared" si="14"/>
        <v>627</v>
      </c>
      <c r="Q13" s="7">
        <f t="shared" si="5"/>
        <v>618.75</v>
      </c>
      <c r="S13" s="16">
        <v>27450</v>
      </c>
      <c r="T13">
        <f t="shared" si="6"/>
        <v>28550</v>
      </c>
      <c r="U13" s="15">
        <f t="shared" ref="U13:U73" si="15">+AL13</f>
        <v>765</v>
      </c>
      <c r="V13" s="7">
        <f t="shared" si="7"/>
        <v>713.75</v>
      </c>
      <c r="X13" s="16">
        <v>29650</v>
      </c>
      <c r="Y13">
        <f t="shared" si="8"/>
        <v>31850</v>
      </c>
      <c r="Z13" s="15">
        <f t="shared" ref="Z13:Z73" si="16">+AM13</f>
        <v>786</v>
      </c>
      <c r="AA13" s="7">
        <f t="shared" si="9"/>
        <v>796.25</v>
      </c>
      <c r="AB13" s="16">
        <v>31850</v>
      </c>
      <c r="AC13" s="16">
        <v>34050</v>
      </c>
      <c r="AE13">
        <f t="shared" si="10"/>
        <v>35150</v>
      </c>
      <c r="AF13" s="7">
        <f t="shared" si="11"/>
        <v>878.75</v>
      </c>
      <c r="AG13" s="16">
        <v>36250</v>
      </c>
      <c r="AI13" s="16">
        <v>520</v>
      </c>
      <c r="AJ13" s="16">
        <v>522</v>
      </c>
      <c r="AK13" s="16">
        <v>627</v>
      </c>
      <c r="AL13" s="16">
        <v>765</v>
      </c>
      <c r="AM13" s="16">
        <v>786</v>
      </c>
      <c r="AP13" s="16">
        <v>15200</v>
      </c>
    </row>
    <row r="14" spans="1:43">
      <c r="A14" s="11"/>
      <c r="B14" s="11" t="s">
        <v>1465</v>
      </c>
      <c r="C14" s="11"/>
      <c r="D14" s="16">
        <v>16800</v>
      </c>
      <c r="E14" s="11">
        <f t="shared" si="1"/>
        <v>16800</v>
      </c>
      <c r="F14" s="15">
        <f t="shared" si="12"/>
        <v>358</v>
      </c>
      <c r="G14" s="12">
        <f t="shared" si="2"/>
        <v>420</v>
      </c>
      <c r="H14" s="11"/>
      <c r="I14" s="16">
        <v>19200</v>
      </c>
      <c r="J14" s="11">
        <f t="shared" si="0"/>
        <v>18000</v>
      </c>
      <c r="K14" s="15">
        <f t="shared" si="13"/>
        <v>488</v>
      </c>
      <c r="L14" s="12">
        <f t="shared" si="3"/>
        <v>450</v>
      </c>
      <c r="M14" s="11"/>
      <c r="N14" s="16">
        <v>21600</v>
      </c>
      <c r="O14" s="11">
        <f t="shared" si="4"/>
        <v>21600</v>
      </c>
      <c r="P14" s="15">
        <f t="shared" si="14"/>
        <v>554</v>
      </c>
      <c r="Q14" s="12">
        <f t="shared" si="5"/>
        <v>540</v>
      </c>
      <c r="R14" s="11"/>
      <c r="S14" s="16">
        <v>24000</v>
      </c>
      <c r="T14" s="11">
        <f t="shared" si="6"/>
        <v>24975</v>
      </c>
      <c r="U14" s="15">
        <f t="shared" si="15"/>
        <v>754</v>
      </c>
      <c r="V14" s="12">
        <f t="shared" si="7"/>
        <v>624.375</v>
      </c>
      <c r="W14" s="11"/>
      <c r="X14" s="16">
        <v>25950</v>
      </c>
      <c r="Y14" s="11">
        <f t="shared" si="8"/>
        <v>27850</v>
      </c>
      <c r="Z14" s="15">
        <f t="shared" si="16"/>
        <v>901</v>
      </c>
      <c r="AA14" s="12">
        <f t="shared" si="9"/>
        <v>696.25</v>
      </c>
      <c r="AB14" s="16">
        <v>27850</v>
      </c>
      <c r="AC14" s="16">
        <v>29800</v>
      </c>
      <c r="AD14" s="11"/>
      <c r="AE14" s="11">
        <f t="shared" si="10"/>
        <v>30750</v>
      </c>
      <c r="AF14" s="12">
        <f t="shared" si="11"/>
        <v>768.75</v>
      </c>
      <c r="AG14" s="16">
        <v>31700</v>
      </c>
      <c r="AH14" s="11"/>
      <c r="AI14" s="16">
        <v>358</v>
      </c>
      <c r="AJ14" s="16">
        <v>488</v>
      </c>
      <c r="AK14" s="16">
        <v>554</v>
      </c>
      <c r="AL14" s="16">
        <v>754</v>
      </c>
      <c r="AM14" s="16">
        <v>901</v>
      </c>
      <c r="AN14" s="11"/>
      <c r="AO14" s="11"/>
      <c r="AP14" s="16">
        <v>13800</v>
      </c>
      <c r="AQ14" s="11"/>
    </row>
    <row r="15" spans="1:43">
      <c r="B15" t="s">
        <v>1466</v>
      </c>
      <c r="D15" s="16">
        <v>19100</v>
      </c>
      <c r="E15">
        <f t="shared" si="1"/>
        <v>19100</v>
      </c>
      <c r="F15" s="15">
        <f t="shared" si="12"/>
        <v>473</v>
      </c>
      <c r="G15" s="7">
        <f t="shared" si="2"/>
        <v>477.5</v>
      </c>
      <c r="I15" s="16">
        <v>21800</v>
      </c>
      <c r="J15">
        <f t="shared" si="0"/>
        <v>20450</v>
      </c>
      <c r="K15" s="15">
        <f t="shared" si="13"/>
        <v>485</v>
      </c>
      <c r="L15" s="7">
        <f t="shared" si="3"/>
        <v>511.25</v>
      </c>
      <c r="N15" s="16">
        <v>24550</v>
      </c>
      <c r="O15">
        <f t="shared" si="4"/>
        <v>24550</v>
      </c>
      <c r="P15" s="15">
        <f t="shared" si="14"/>
        <v>571</v>
      </c>
      <c r="Q15" s="7">
        <f t="shared" si="5"/>
        <v>613.75</v>
      </c>
      <c r="S15" s="16">
        <v>27250</v>
      </c>
      <c r="T15">
        <f t="shared" si="6"/>
        <v>28350</v>
      </c>
      <c r="U15" s="15">
        <f t="shared" si="15"/>
        <v>831</v>
      </c>
      <c r="V15" s="7">
        <f t="shared" si="7"/>
        <v>708.75</v>
      </c>
      <c r="X15" s="16">
        <v>29450</v>
      </c>
      <c r="Y15">
        <f t="shared" si="8"/>
        <v>31650</v>
      </c>
      <c r="Z15" s="15">
        <f t="shared" si="16"/>
        <v>1000</v>
      </c>
      <c r="AA15" s="7">
        <f t="shared" si="9"/>
        <v>791.25</v>
      </c>
      <c r="AB15" s="16">
        <v>31650</v>
      </c>
      <c r="AC15" s="16">
        <v>33800</v>
      </c>
      <c r="AE15">
        <f t="shared" si="10"/>
        <v>34900</v>
      </c>
      <c r="AF15" s="7">
        <f t="shared" si="11"/>
        <v>872.5</v>
      </c>
      <c r="AG15" s="16">
        <v>36000</v>
      </c>
      <c r="AI15" s="16">
        <v>473</v>
      </c>
      <c r="AJ15" s="16">
        <v>485</v>
      </c>
      <c r="AK15" s="16">
        <v>571</v>
      </c>
      <c r="AL15" s="16">
        <v>831</v>
      </c>
      <c r="AM15" s="16">
        <v>1000</v>
      </c>
      <c r="AP15" s="16">
        <v>15850</v>
      </c>
    </row>
    <row r="16" spans="1:43">
      <c r="B16" t="s">
        <v>1467</v>
      </c>
      <c r="D16" s="16">
        <v>16800</v>
      </c>
      <c r="E16">
        <f t="shared" si="1"/>
        <v>16800</v>
      </c>
      <c r="F16" s="15">
        <f t="shared" si="12"/>
        <v>510</v>
      </c>
      <c r="G16" s="7">
        <f t="shared" si="2"/>
        <v>420</v>
      </c>
      <c r="I16" s="16">
        <v>19200</v>
      </c>
      <c r="J16">
        <f t="shared" si="0"/>
        <v>18000</v>
      </c>
      <c r="K16" s="15">
        <f t="shared" si="13"/>
        <v>519</v>
      </c>
      <c r="L16" s="7">
        <f t="shared" si="3"/>
        <v>450</v>
      </c>
      <c r="N16" s="16">
        <v>21600</v>
      </c>
      <c r="O16">
        <f t="shared" si="4"/>
        <v>21600</v>
      </c>
      <c r="P16" s="15">
        <f t="shared" si="14"/>
        <v>614</v>
      </c>
      <c r="Q16" s="7">
        <f t="shared" si="5"/>
        <v>540</v>
      </c>
      <c r="S16" s="16">
        <v>24000</v>
      </c>
      <c r="T16">
        <f t="shared" si="6"/>
        <v>24975</v>
      </c>
      <c r="U16" s="15">
        <f t="shared" si="15"/>
        <v>734</v>
      </c>
      <c r="V16" s="7">
        <f t="shared" si="7"/>
        <v>624.375</v>
      </c>
      <c r="X16" s="16">
        <v>25950</v>
      </c>
      <c r="Y16">
        <f t="shared" si="8"/>
        <v>27850</v>
      </c>
      <c r="Z16" s="15">
        <f t="shared" si="16"/>
        <v>803</v>
      </c>
      <c r="AA16" s="7">
        <f t="shared" si="9"/>
        <v>696.25</v>
      </c>
      <c r="AB16" s="16">
        <v>27850</v>
      </c>
      <c r="AC16" s="16">
        <v>29800</v>
      </c>
      <c r="AE16">
        <f t="shared" si="10"/>
        <v>30750</v>
      </c>
      <c r="AF16" s="7">
        <f t="shared" si="11"/>
        <v>768.75</v>
      </c>
      <c r="AG16" s="16">
        <v>31700</v>
      </c>
      <c r="AI16" s="16">
        <v>510</v>
      </c>
      <c r="AJ16" s="16">
        <v>519</v>
      </c>
      <c r="AK16" s="16">
        <v>614</v>
      </c>
      <c r="AL16" s="16">
        <v>734</v>
      </c>
      <c r="AM16" s="16">
        <v>803</v>
      </c>
      <c r="AP16" s="16">
        <v>13800</v>
      </c>
    </row>
    <row r="17" spans="1:43">
      <c r="B17" t="s">
        <v>1468</v>
      </c>
      <c r="D17" s="16">
        <v>19450</v>
      </c>
      <c r="E17">
        <f t="shared" si="1"/>
        <v>19450</v>
      </c>
      <c r="F17" s="15">
        <f t="shared" si="12"/>
        <v>552</v>
      </c>
      <c r="G17" s="7">
        <f t="shared" si="2"/>
        <v>486.25</v>
      </c>
      <c r="I17" s="16">
        <v>22200</v>
      </c>
      <c r="J17">
        <f t="shared" si="0"/>
        <v>20825</v>
      </c>
      <c r="K17" s="15">
        <f t="shared" si="13"/>
        <v>635</v>
      </c>
      <c r="L17" s="7">
        <f t="shared" si="3"/>
        <v>520.625</v>
      </c>
      <c r="N17" s="16">
        <v>25000</v>
      </c>
      <c r="O17">
        <f t="shared" si="4"/>
        <v>25000</v>
      </c>
      <c r="P17" s="15">
        <f t="shared" si="14"/>
        <v>742</v>
      </c>
      <c r="Q17" s="7">
        <f t="shared" si="5"/>
        <v>625</v>
      </c>
      <c r="S17" s="16">
        <v>27750</v>
      </c>
      <c r="T17">
        <f t="shared" si="6"/>
        <v>28875</v>
      </c>
      <c r="U17" s="15">
        <f t="shared" si="15"/>
        <v>942</v>
      </c>
      <c r="V17" s="7">
        <f t="shared" si="7"/>
        <v>721.875</v>
      </c>
      <c r="X17" s="16">
        <v>30000</v>
      </c>
      <c r="Y17">
        <f t="shared" si="8"/>
        <v>32200</v>
      </c>
      <c r="Z17" s="15">
        <f t="shared" si="16"/>
        <v>971</v>
      </c>
      <c r="AA17" s="7">
        <f t="shared" si="9"/>
        <v>805</v>
      </c>
      <c r="AB17" s="16">
        <v>32200</v>
      </c>
      <c r="AC17" s="16">
        <v>34450</v>
      </c>
      <c r="AE17">
        <f t="shared" si="10"/>
        <v>35550</v>
      </c>
      <c r="AF17" s="7">
        <f t="shared" si="11"/>
        <v>888.75</v>
      </c>
      <c r="AG17" s="16">
        <v>36650</v>
      </c>
      <c r="AI17" s="16">
        <v>552</v>
      </c>
      <c r="AJ17" s="16">
        <v>635</v>
      </c>
      <c r="AK17" s="16">
        <v>742</v>
      </c>
      <c r="AL17" s="16">
        <v>942</v>
      </c>
      <c r="AM17" s="16">
        <v>971</v>
      </c>
      <c r="AP17" s="16">
        <v>16650</v>
      </c>
    </row>
    <row r="18" spans="1:43">
      <c r="B18" t="s">
        <v>1469</v>
      </c>
      <c r="D18" s="16">
        <v>19450</v>
      </c>
      <c r="E18">
        <f t="shared" si="1"/>
        <v>19450</v>
      </c>
      <c r="F18" s="15">
        <f t="shared" si="12"/>
        <v>552</v>
      </c>
      <c r="G18" s="7">
        <f t="shared" si="2"/>
        <v>486.25</v>
      </c>
      <c r="I18" s="16">
        <v>22200</v>
      </c>
      <c r="J18">
        <f t="shared" si="0"/>
        <v>20825</v>
      </c>
      <c r="K18" s="15">
        <f t="shared" si="13"/>
        <v>635</v>
      </c>
      <c r="L18" s="7">
        <f t="shared" si="3"/>
        <v>520.625</v>
      </c>
      <c r="N18" s="16">
        <v>25000</v>
      </c>
      <c r="O18">
        <f t="shared" si="4"/>
        <v>25000</v>
      </c>
      <c r="P18" s="15">
        <f t="shared" si="14"/>
        <v>742</v>
      </c>
      <c r="Q18" s="7">
        <f t="shared" si="5"/>
        <v>625</v>
      </c>
      <c r="S18" s="16">
        <v>27750</v>
      </c>
      <c r="T18">
        <f t="shared" si="6"/>
        <v>28875</v>
      </c>
      <c r="U18" s="15">
        <f t="shared" si="15"/>
        <v>942</v>
      </c>
      <c r="V18" s="7">
        <f t="shared" si="7"/>
        <v>721.875</v>
      </c>
      <c r="X18" s="16">
        <v>30000</v>
      </c>
      <c r="Y18">
        <f t="shared" si="8"/>
        <v>32200</v>
      </c>
      <c r="Z18" s="15">
        <f t="shared" si="16"/>
        <v>971</v>
      </c>
      <c r="AA18" s="7">
        <f t="shared" si="9"/>
        <v>805</v>
      </c>
      <c r="AB18" s="16">
        <v>32200</v>
      </c>
      <c r="AC18" s="16">
        <v>34450</v>
      </c>
      <c r="AE18">
        <f t="shared" si="10"/>
        <v>35550</v>
      </c>
      <c r="AF18" s="7">
        <f t="shared" si="11"/>
        <v>888.75</v>
      </c>
      <c r="AG18" s="16">
        <v>36650</v>
      </c>
      <c r="AI18" s="16">
        <v>552</v>
      </c>
      <c r="AJ18" s="16">
        <v>635</v>
      </c>
      <c r="AK18" s="16">
        <v>742</v>
      </c>
      <c r="AL18" s="16">
        <v>942</v>
      </c>
      <c r="AM18" s="16">
        <v>971</v>
      </c>
      <c r="AP18" s="16">
        <v>16650</v>
      </c>
    </row>
    <row r="19" spans="1:43">
      <c r="A19" s="11"/>
      <c r="B19" s="11" t="s">
        <v>1470</v>
      </c>
      <c r="C19" s="11"/>
      <c r="D19" s="16">
        <v>20150</v>
      </c>
      <c r="E19" s="11">
        <f t="shared" si="1"/>
        <v>20150</v>
      </c>
      <c r="F19" s="15">
        <f t="shared" si="12"/>
        <v>533</v>
      </c>
      <c r="G19" s="12">
        <f t="shared" si="2"/>
        <v>503.75</v>
      </c>
      <c r="H19" s="11"/>
      <c r="I19" s="16">
        <v>23000</v>
      </c>
      <c r="J19" s="11">
        <f t="shared" si="0"/>
        <v>21575</v>
      </c>
      <c r="K19" s="15">
        <f t="shared" si="13"/>
        <v>601</v>
      </c>
      <c r="L19" s="12">
        <f t="shared" si="3"/>
        <v>539.375</v>
      </c>
      <c r="M19" s="11"/>
      <c r="N19" s="16">
        <v>25900</v>
      </c>
      <c r="O19" s="11">
        <f t="shared" si="4"/>
        <v>25900</v>
      </c>
      <c r="P19" s="15">
        <f t="shared" si="14"/>
        <v>731</v>
      </c>
      <c r="Q19" s="12">
        <f t="shared" si="5"/>
        <v>647.5</v>
      </c>
      <c r="R19" s="11"/>
      <c r="S19" s="16">
        <v>28750</v>
      </c>
      <c r="T19" s="11">
        <f t="shared" si="6"/>
        <v>29900</v>
      </c>
      <c r="U19" s="15">
        <f t="shared" si="15"/>
        <v>902</v>
      </c>
      <c r="V19" s="12">
        <f t="shared" si="7"/>
        <v>747.5</v>
      </c>
      <c r="W19" s="11"/>
      <c r="X19" s="16">
        <v>31050</v>
      </c>
      <c r="Y19" s="11">
        <f t="shared" si="8"/>
        <v>33350</v>
      </c>
      <c r="Z19" s="15">
        <f t="shared" si="16"/>
        <v>1270</v>
      </c>
      <c r="AA19" s="12">
        <f t="shared" si="9"/>
        <v>833.75</v>
      </c>
      <c r="AB19" s="16">
        <v>33350</v>
      </c>
      <c r="AC19" s="16">
        <v>35650</v>
      </c>
      <c r="AD19" s="11"/>
      <c r="AE19" s="11">
        <f t="shared" si="10"/>
        <v>36800</v>
      </c>
      <c r="AF19" s="12">
        <f t="shared" si="11"/>
        <v>920</v>
      </c>
      <c r="AG19" s="16">
        <v>37950</v>
      </c>
      <c r="AH19" s="11"/>
      <c r="AI19" s="16">
        <v>533</v>
      </c>
      <c r="AJ19" s="16">
        <v>601</v>
      </c>
      <c r="AK19" s="16">
        <v>731</v>
      </c>
      <c r="AL19" s="16">
        <v>902</v>
      </c>
      <c r="AM19" s="16">
        <v>1270</v>
      </c>
      <c r="AN19" s="11"/>
      <c r="AO19" s="11"/>
      <c r="AP19" s="16">
        <v>17000</v>
      </c>
      <c r="AQ19" s="11"/>
    </row>
    <row r="20" spans="1:43">
      <c r="B20" t="s">
        <v>1471</v>
      </c>
      <c r="D20" s="16">
        <v>17150</v>
      </c>
      <c r="E20">
        <f t="shared" si="1"/>
        <v>17150</v>
      </c>
      <c r="F20" s="15">
        <f t="shared" si="12"/>
        <v>437</v>
      </c>
      <c r="G20" s="7">
        <f t="shared" si="2"/>
        <v>428.75</v>
      </c>
      <c r="I20" s="16">
        <v>19600</v>
      </c>
      <c r="J20">
        <f t="shared" si="0"/>
        <v>18375</v>
      </c>
      <c r="K20" s="15">
        <f t="shared" si="13"/>
        <v>467</v>
      </c>
      <c r="L20" s="7">
        <f t="shared" si="3"/>
        <v>459.375</v>
      </c>
      <c r="N20" s="16">
        <v>22050</v>
      </c>
      <c r="O20">
        <f t="shared" si="4"/>
        <v>22050</v>
      </c>
      <c r="P20" s="15">
        <f t="shared" si="14"/>
        <v>554</v>
      </c>
      <c r="Q20" s="7">
        <f t="shared" si="5"/>
        <v>551.25</v>
      </c>
      <c r="S20" s="16">
        <v>24500</v>
      </c>
      <c r="T20">
        <f t="shared" si="6"/>
        <v>25500</v>
      </c>
      <c r="U20" s="15">
        <f t="shared" si="15"/>
        <v>701</v>
      </c>
      <c r="V20" s="7">
        <f t="shared" si="7"/>
        <v>637.5</v>
      </c>
      <c r="X20" s="16">
        <v>26500</v>
      </c>
      <c r="Y20">
        <f t="shared" si="8"/>
        <v>28450</v>
      </c>
      <c r="Z20" s="15">
        <f t="shared" si="16"/>
        <v>782</v>
      </c>
      <c r="AA20" s="7">
        <f t="shared" si="9"/>
        <v>711.25</v>
      </c>
      <c r="AB20" s="16">
        <v>28450</v>
      </c>
      <c r="AC20" s="16">
        <v>30400</v>
      </c>
      <c r="AE20">
        <f t="shared" si="10"/>
        <v>31375</v>
      </c>
      <c r="AF20" s="7">
        <f t="shared" si="11"/>
        <v>784.375</v>
      </c>
      <c r="AG20" s="16">
        <v>32350</v>
      </c>
      <c r="AI20" s="16">
        <v>437</v>
      </c>
      <c r="AJ20" s="16">
        <v>467</v>
      </c>
      <c r="AK20" s="16">
        <v>554</v>
      </c>
      <c r="AL20" s="16">
        <v>701</v>
      </c>
      <c r="AM20" s="16">
        <v>782</v>
      </c>
      <c r="AP20" s="16">
        <v>13800</v>
      </c>
    </row>
    <row r="21" spans="1:43">
      <c r="B21" t="s">
        <v>1472</v>
      </c>
      <c r="D21" s="16">
        <v>20150</v>
      </c>
      <c r="E21">
        <f t="shared" si="1"/>
        <v>20150</v>
      </c>
      <c r="F21" s="15">
        <f t="shared" si="12"/>
        <v>533</v>
      </c>
      <c r="G21" s="7">
        <f t="shared" si="2"/>
        <v>503.75</v>
      </c>
      <c r="I21" s="16">
        <v>23000</v>
      </c>
      <c r="J21">
        <f t="shared" si="0"/>
        <v>21575</v>
      </c>
      <c r="K21" s="15">
        <f t="shared" si="13"/>
        <v>601</v>
      </c>
      <c r="L21" s="7">
        <f t="shared" si="3"/>
        <v>539.375</v>
      </c>
      <c r="N21" s="16">
        <v>25900</v>
      </c>
      <c r="O21">
        <f t="shared" si="4"/>
        <v>25900</v>
      </c>
      <c r="P21" s="15">
        <f t="shared" si="14"/>
        <v>731</v>
      </c>
      <c r="Q21" s="7">
        <f t="shared" si="5"/>
        <v>647.5</v>
      </c>
      <c r="S21" s="16">
        <v>28750</v>
      </c>
      <c r="T21">
        <f t="shared" si="6"/>
        <v>29900</v>
      </c>
      <c r="U21" s="15">
        <f t="shared" si="15"/>
        <v>902</v>
      </c>
      <c r="V21" s="7">
        <f t="shared" si="7"/>
        <v>747.5</v>
      </c>
      <c r="X21" s="16">
        <v>31050</v>
      </c>
      <c r="Y21">
        <f t="shared" si="8"/>
        <v>33350</v>
      </c>
      <c r="Z21" s="15">
        <f t="shared" si="16"/>
        <v>1270</v>
      </c>
      <c r="AA21" s="7">
        <f t="shared" si="9"/>
        <v>833.75</v>
      </c>
      <c r="AB21" s="16">
        <v>33350</v>
      </c>
      <c r="AC21" s="16">
        <v>35650</v>
      </c>
      <c r="AE21">
        <f t="shared" si="10"/>
        <v>36800</v>
      </c>
      <c r="AF21" s="7">
        <f t="shared" si="11"/>
        <v>920</v>
      </c>
      <c r="AG21" s="16">
        <v>37950</v>
      </c>
      <c r="AI21" s="16">
        <v>533</v>
      </c>
      <c r="AJ21" s="16">
        <v>601</v>
      </c>
      <c r="AK21" s="16">
        <v>731</v>
      </c>
      <c r="AL21" s="16">
        <v>902</v>
      </c>
      <c r="AM21" s="16">
        <v>1270</v>
      </c>
      <c r="AP21" s="16">
        <v>15950</v>
      </c>
    </row>
    <row r="22" spans="1:43">
      <c r="B22" t="s">
        <v>1473</v>
      </c>
      <c r="D22" s="16">
        <v>16800</v>
      </c>
      <c r="E22">
        <f t="shared" si="1"/>
        <v>16800</v>
      </c>
      <c r="F22" s="15">
        <f t="shared" si="12"/>
        <v>420</v>
      </c>
      <c r="G22" s="7">
        <f t="shared" si="2"/>
        <v>420</v>
      </c>
      <c r="I22" s="16">
        <v>19200</v>
      </c>
      <c r="J22">
        <f t="shared" si="0"/>
        <v>18000</v>
      </c>
      <c r="K22" s="15">
        <f t="shared" si="13"/>
        <v>453</v>
      </c>
      <c r="L22" s="7">
        <f t="shared" si="3"/>
        <v>450</v>
      </c>
      <c r="N22" s="16">
        <v>21600</v>
      </c>
      <c r="O22">
        <f t="shared" si="4"/>
        <v>21600</v>
      </c>
      <c r="P22" s="15">
        <f t="shared" si="14"/>
        <v>554</v>
      </c>
      <c r="Q22" s="7">
        <f t="shared" si="5"/>
        <v>540</v>
      </c>
      <c r="S22" s="16">
        <v>24000</v>
      </c>
      <c r="T22">
        <f t="shared" si="6"/>
        <v>24975</v>
      </c>
      <c r="U22" s="15">
        <f t="shared" si="15"/>
        <v>702</v>
      </c>
      <c r="V22" s="7">
        <f t="shared" si="7"/>
        <v>624.375</v>
      </c>
      <c r="X22" s="16">
        <v>25950</v>
      </c>
      <c r="Y22">
        <f t="shared" si="8"/>
        <v>27850</v>
      </c>
      <c r="Z22" s="15">
        <f t="shared" si="16"/>
        <v>849</v>
      </c>
      <c r="AA22" s="7">
        <f t="shared" si="9"/>
        <v>696.25</v>
      </c>
      <c r="AB22" s="16">
        <v>27850</v>
      </c>
      <c r="AC22" s="16">
        <v>29800</v>
      </c>
      <c r="AE22">
        <f t="shared" si="10"/>
        <v>30750</v>
      </c>
      <c r="AF22" s="7">
        <f t="shared" si="11"/>
        <v>768.75</v>
      </c>
      <c r="AG22" s="16">
        <v>31700</v>
      </c>
      <c r="AI22" s="16">
        <v>420</v>
      </c>
      <c r="AJ22" s="16">
        <v>453</v>
      </c>
      <c r="AK22" s="16">
        <v>554</v>
      </c>
      <c r="AL22" s="16">
        <v>702</v>
      </c>
      <c r="AM22" s="16">
        <v>849</v>
      </c>
      <c r="AP22" s="16">
        <v>13800</v>
      </c>
    </row>
    <row r="23" spans="1:43">
      <c r="B23" t="s">
        <v>1474</v>
      </c>
      <c r="D23" s="16">
        <v>16800</v>
      </c>
      <c r="E23">
        <f t="shared" si="1"/>
        <v>16800</v>
      </c>
      <c r="F23" s="15">
        <f t="shared" si="12"/>
        <v>510</v>
      </c>
      <c r="G23" s="7">
        <f t="shared" si="2"/>
        <v>420</v>
      </c>
      <c r="I23" s="16">
        <v>19200</v>
      </c>
      <c r="J23">
        <f t="shared" si="0"/>
        <v>18000</v>
      </c>
      <c r="K23" s="15">
        <f t="shared" si="13"/>
        <v>519</v>
      </c>
      <c r="L23" s="7">
        <f t="shared" si="3"/>
        <v>450</v>
      </c>
      <c r="N23" s="16">
        <v>21600</v>
      </c>
      <c r="O23">
        <f t="shared" si="4"/>
        <v>21600</v>
      </c>
      <c r="P23" s="15">
        <f t="shared" si="14"/>
        <v>614</v>
      </c>
      <c r="Q23" s="7">
        <f t="shared" si="5"/>
        <v>540</v>
      </c>
      <c r="S23" s="16">
        <v>24000</v>
      </c>
      <c r="T23">
        <f t="shared" si="6"/>
        <v>24975</v>
      </c>
      <c r="U23" s="15">
        <f t="shared" si="15"/>
        <v>734</v>
      </c>
      <c r="V23" s="7">
        <f t="shared" si="7"/>
        <v>624.375</v>
      </c>
      <c r="X23" s="16">
        <v>25950</v>
      </c>
      <c r="Y23">
        <f t="shared" si="8"/>
        <v>27850</v>
      </c>
      <c r="Z23" s="15">
        <f t="shared" si="16"/>
        <v>803</v>
      </c>
      <c r="AA23" s="7">
        <f t="shared" si="9"/>
        <v>696.25</v>
      </c>
      <c r="AB23" s="16">
        <v>27850</v>
      </c>
      <c r="AC23" s="16">
        <v>29800</v>
      </c>
      <c r="AE23">
        <f t="shared" si="10"/>
        <v>30750</v>
      </c>
      <c r="AF23" s="7">
        <f t="shared" si="11"/>
        <v>768.75</v>
      </c>
      <c r="AG23" s="16">
        <v>31700</v>
      </c>
      <c r="AI23" s="16">
        <v>510</v>
      </c>
      <c r="AJ23" s="16">
        <v>519</v>
      </c>
      <c r="AK23" s="16">
        <v>614</v>
      </c>
      <c r="AL23" s="16">
        <v>734</v>
      </c>
      <c r="AM23" s="16">
        <v>803</v>
      </c>
      <c r="AP23" s="16">
        <v>13800</v>
      </c>
    </row>
    <row r="24" spans="1:43">
      <c r="A24" s="11"/>
      <c r="B24" s="11" t="s">
        <v>1475</v>
      </c>
      <c r="C24" s="11"/>
      <c r="D24" s="16">
        <v>16800</v>
      </c>
      <c r="E24" s="11">
        <f t="shared" si="1"/>
        <v>16800</v>
      </c>
      <c r="F24" s="15">
        <f t="shared" si="12"/>
        <v>420</v>
      </c>
      <c r="G24" s="12">
        <f t="shared" si="2"/>
        <v>420</v>
      </c>
      <c r="H24" s="11"/>
      <c r="I24" s="16">
        <v>19200</v>
      </c>
      <c r="J24" s="11">
        <f t="shared" si="0"/>
        <v>18000</v>
      </c>
      <c r="K24" s="15">
        <f t="shared" si="13"/>
        <v>453</v>
      </c>
      <c r="L24" s="12">
        <f t="shared" si="3"/>
        <v>450</v>
      </c>
      <c r="M24" s="11"/>
      <c r="N24" s="16">
        <v>21600</v>
      </c>
      <c r="O24" s="11">
        <f t="shared" si="4"/>
        <v>21600</v>
      </c>
      <c r="P24" s="15">
        <f t="shared" si="14"/>
        <v>554</v>
      </c>
      <c r="Q24" s="12">
        <f t="shared" si="5"/>
        <v>540</v>
      </c>
      <c r="R24" s="11"/>
      <c r="S24" s="16">
        <v>24000</v>
      </c>
      <c r="T24" s="11">
        <f t="shared" si="6"/>
        <v>24975</v>
      </c>
      <c r="U24" s="15">
        <f t="shared" si="15"/>
        <v>718</v>
      </c>
      <c r="V24" s="12">
        <f t="shared" si="7"/>
        <v>624.375</v>
      </c>
      <c r="W24" s="11"/>
      <c r="X24" s="16">
        <v>25950</v>
      </c>
      <c r="Y24" s="11">
        <f t="shared" si="8"/>
        <v>27850</v>
      </c>
      <c r="Z24" s="15">
        <f t="shared" si="16"/>
        <v>849</v>
      </c>
      <c r="AA24" s="12">
        <f t="shared" si="9"/>
        <v>696.25</v>
      </c>
      <c r="AB24" s="16">
        <v>27850</v>
      </c>
      <c r="AC24" s="16">
        <v>29800</v>
      </c>
      <c r="AD24" s="11"/>
      <c r="AE24" s="11">
        <f t="shared" si="10"/>
        <v>30750</v>
      </c>
      <c r="AF24" s="12">
        <f t="shared" si="11"/>
        <v>768.75</v>
      </c>
      <c r="AG24" s="16">
        <v>31700</v>
      </c>
      <c r="AH24" s="11"/>
      <c r="AI24" s="16">
        <v>420</v>
      </c>
      <c r="AJ24" s="16">
        <v>453</v>
      </c>
      <c r="AK24" s="16">
        <v>554</v>
      </c>
      <c r="AL24" s="16">
        <v>718</v>
      </c>
      <c r="AM24" s="16">
        <v>849</v>
      </c>
      <c r="AN24" s="11"/>
      <c r="AO24" s="11"/>
      <c r="AP24" s="16">
        <v>13800</v>
      </c>
      <c r="AQ24" s="11"/>
    </row>
    <row r="25" spans="1:43">
      <c r="B25" t="s">
        <v>1476</v>
      </c>
      <c r="D25" s="16">
        <v>19450</v>
      </c>
      <c r="E25">
        <f t="shared" si="1"/>
        <v>19450</v>
      </c>
      <c r="F25" s="15">
        <f t="shared" si="12"/>
        <v>552</v>
      </c>
      <c r="G25" s="7">
        <f t="shared" si="2"/>
        <v>486.25</v>
      </c>
      <c r="I25" s="16">
        <v>22200</v>
      </c>
      <c r="J25">
        <f t="shared" si="0"/>
        <v>20825</v>
      </c>
      <c r="K25" s="15">
        <f t="shared" si="13"/>
        <v>635</v>
      </c>
      <c r="L25" s="7">
        <f t="shared" si="3"/>
        <v>520.625</v>
      </c>
      <c r="N25" s="16">
        <v>25000</v>
      </c>
      <c r="O25">
        <f t="shared" si="4"/>
        <v>25000</v>
      </c>
      <c r="P25" s="15">
        <f t="shared" si="14"/>
        <v>742</v>
      </c>
      <c r="Q25" s="7">
        <f t="shared" si="5"/>
        <v>625</v>
      </c>
      <c r="S25" s="16">
        <v>27750</v>
      </c>
      <c r="T25">
        <f t="shared" si="6"/>
        <v>28875</v>
      </c>
      <c r="U25" s="15">
        <f t="shared" si="15"/>
        <v>942</v>
      </c>
      <c r="V25" s="7">
        <f t="shared" si="7"/>
        <v>721.875</v>
      </c>
      <c r="X25" s="16">
        <v>30000</v>
      </c>
      <c r="Y25">
        <f t="shared" si="8"/>
        <v>32200</v>
      </c>
      <c r="Z25" s="15">
        <f t="shared" si="16"/>
        <v>971</v>
      </c>
      <c r="AA25" s="7">
        <f t="shared" si="9"/>
        <v>805</v>
      </c>
      <c r="AB25" s="16">
        <v>32200</v>
      </c>
      <c r="AC25" s="16">
        <v>34450</v>
      </c>
      <c r="AE25">
        <f t="shared" si="10"/>
        <v>35550</v>
      </c>
      <c r="AF25" s="7">
        <f t="shared" si="11"/>
        <v>888.75</v>
      </c>
      <c r="AG25" s="16">
        <v>36650</v>
      </c>
      <c r="AI25" s="16">
        <v>552</v>
      </c>
      <c r="AJ25" s="16">
        <v>635</v>
      </c>
      <c r="AK25" s="16">
        <v>742</v>
      </c>
      <c r="AL25" s="16">
        <v>942</v>
      </c>
      <c r="AM25" s="16">
        <v>971</v>
      </c>
      <c r="AP25" s="16">
        <v>14000</v>
      </c>
    </row>
    <row r="26" spans="1:43">
      <c r="B26" t="s">
        <v>1477</v>
      </c>
      <c r="D26" s="16">
        <v>22650</v>
      </c>
      <c r="E26">
        <f t="shared" si="1"/>
        <v>22650</v>
      </c>
      <c r="F26" s="15">
        <f t="shared" si="12"/>
        <v>638</v>
      </c>
      <c r="G26" s="7">
        <f t="shared" si="2"/>
        <v>566.25</v>
      </c>
      <c r="I26" s="16">
        <v>25850</v>
      </c>
      <c r="J26">
        <f t="shared" si="0"/>
        <v>24250</v>
      </c>
      <c r="K26" s="15">
        <f t="shared" si="13"/>
        <v>694</v>
      </c>
      <c r="L26" s="7">
        <f t="shared" si="3"/>
        <v>606.25</v>
      </c>
      <c r="N26" s="16">
        <v>29100</v>
      </c>
      <c r="O26">
        <f t="shared" si="4"/>
        <v>29100</v>
      </c>
      <c r="P26" s="15">
        <f t="shared" si="14"/>
        <v>801</v>
      </c>
      <c r="Q26" s="7">
        <f t="shared" si="5"/>
        <v>727.5</v>
      </c>
      <c r="S26" s="16">
        <v>32300</v>
      </c>
      <c r="T26">
        <f t="shared" si="6"/>
        <v>33600</v>
      </c>
      <c r="U26" s="15">
        <f t="shared" si="15"/>
        <v>1021</v>
      </c>
      <c r="V26" s="7">
        <f t="shared" si="7"/>
        <v>840</v>
      </c>
      <c r="X26" s="16">
        <v>34900</v>
      </c>
      <c r="Y26">
        <f t="shared" si="8"/>
        <v>37500</v>
      </c>
      <c r="Z26" s="15">
        <f t="shared" si="16"/>
        <v>1123</v>
      </c>
      <c r="AA26" s="7">
        <f t="shared" si="9"/>
        <v>937.5</v>
      </c>
      <c r="AB26" s="16">
        <v>37500</v>
      </c>
      <c r="AC26" s="16">
        <v>40100</v>
      </c>
      <c r="AE26">
        <f t="shared" si="10"/>
        <v>41375</v>
      </c>
      <c r="AF26" s="7">
        <f t="shared" si="11"/>
        <v>1034.375</v>
      </c>
      <c r="AG26" s="16">
        <v>42650</v>
      </c>
      <c r="AI26" s="16">
        <v>638</v>
      </c>
      <c r="AJ26" s="16">
        <v>694</v>
      </c>
      <c r="AK26" s="16">
        <v>801</v>
      </c>
      <c r="AL26" s="16">
        <v>1021</v>
      </c>
      <c r="AM26" s="16">
        <v>1123</v>
      </c>
      <c r="AP26" s="16">
        <v>19200</v>
      </c>
    </row>
    <row r="27" spans="1:43">
      <c r="B27" t="s">
        <v>1478</v>
      </c>
      <c r="D27" s="16">
        <v>16800</v>
      </c>
      <c r="E27">
        <f t="shared" si="1"/>
        <v>16800</v>
      </c>
      <c r="F27" s="15">
        <f t="shared" si="12"/>
        <v>437</v>
      </c>
      <c r="G27" s="7">
        <f t="shared" si="2"/>
        <v>420</v>
      </c>
      <c r="I27" s="16">
        <v>19200</v>
      </c>
      <c r="J27">
        <f t="shared" si="0"/>
        <v>18000</v>
      </c>
      <c r="K27" s="15">
        <f t="shared" si="13"/>
        <v>467</v>
      </c>
      <c r="L27" s="7">
        <f t="shared" si="3"/>
        <v>450</v>
      </c>
      <c r="N27" s="16">
        <v>21600</v>
      </c>
      <c r="O27">
        <f t="shared" si="4"/>
        <v>21600</v>
      </c>
      <c r="P27" s="15">
        <f t="shared" si="14"/>
        <v>554</v>
      </c>
      <c r="Q27" s="7">
        <f t="shared" si="5"/>
        <v>540</v>
      </c>
      <c r="S27" s="16">
        <v>24000</v>
      </c>
      <c r="T27">
        <f t="shared" si="6"/>
        <v>24975</v>
      </c>
      <c r="U27" s="15">
        <f t="shared" si="15"/>
        <v>701</v>
      </c>
      <c r="V27" s="7">
        <f t="shared" si="7"/>
        <v>624.375</v>
      </c>
      <c r="X27" s="16">
        <v>25950</v>
      </c>
      <c r="Y27">
        <f t="shared" si="8"/>
        <v>27850</v>
      </c>
      <c r="Z27" s="15">
        <f t="shared" si="16"/>
        <v>782</v>
      </c>
      <c r="AA27" s="7">
        <f t="shared" si="9"/>
        <v>696.25</v>
      </c>
      <c r="AB27" s="16">
        <v>27850</v>
      </c>
      <c r="AC27" s="16">
        <v>29800</v>
      </c>
      <c r="AE27">
        <f t="shared" si="10"/>
        <v>30750</v>
      </c>
      <c r="AF27" s="7">
        <f t="shared" si="11"/>
        <v>768.75</v>
      </c>
      <c r="AG27" s="16">
        <v>31700</v>
      </c>
      <c r="AI27" s="16">
        <v>437</v>
      </c>
      <c r="AJ27" s="16">
        <v>467</v>
      </c>
      <c r="AK27" s="16">
        <v>554</v>
      </c>
      <c r="AL27" s="16">
        <v>701</v>
      </c>
      <c r="AM27" s="16">
        <v>782</v>
      </c>
      <c r="AP27" s="16">
        <v>13800</v>
      </c>
    </row>
    <row r="28" spans="1:43">
      <c r="B28" t="s">
        <v>1479</v>
      </c>
      <c r="D28" s="16">
        <v>22650</v>
      </c>
      <c r="E28">
        <f t="shared" si="1"/>
        <v>22650</v>
      </c>
      <c r="F28" s="15">
        <f t="shared" si="12"/>
        <v>638</v>
      </c>
      <c r="G28" s="7">
        <f t="shared" si="2"/>
        <v>566.25</v>
      </c>
      <c r="I28" s="16">
        <v>25850</v>
      </c>
      <c r="J28">
        <f t="shared" si="0"/>
        <v>24250</v>
      </c>
      <c r="K28" s="15">
        <f t="shared" si="13"/>
        <v>694</v>
      </c>
      <c r="L28" s="7">
        <f t="shared" si="3"/>
        <v>606.25</v>
      </c>
      <c r="N28" s="16">
        <v>29100</v>
      </c>
      <c r="O28">
        <f t="shared" si="4"/>
        <v>29100</v>
      </c>
      <c r="P28" s="15">
        <f t="shared" si="14"/>
        <v>801</v>
      </c>
      <c r="Q28" s="7">
        <f t="shared" si="5"/>
        <v>727.5</v>
      </c>
      <c r="S28" s="16">
        <v>32300</v>
      </c>
      <c r="T28">
        <f t="shared" si="6"/>
        <v>33600</v>
      </c>
      <c r="U28" s="15">
        <f t="shared" si="15"/>
        <v>1021</v>
      </c>
      <c r="V28" s="7">
        <f t="shared" si="7"/>
        <v>840</v>
      </c>
      <c r="X28" s="16">
        <v>34900</v>
      </c>
      <c r="Y28">
        <f t="shared" si="8"/>
        <v>37500</v>
      </c>
      <c r="Z28" s="15">
        <f t="shared" si="16"/>
        <v>1123</v>
      </c>
      <c r="AA28" s="7">
        <f t="shared" si="9"/>
        <v>937.5</v>
      </c>
      <c r="AB28" s="16">
        <v>37500</v>
      </c>
      <c r="AC28" s="16">
        <v>40100</v>
      </c>
      <c r="AE28">
        <f t="shared" si="10"/>
        <v>41375</v>
      </c>
      <c r="AF28" s="7">
        <f t="shared" si="11"/>
        <v>1034.375</v>
      </c>
      <c r="AG28" s="16">
        <v>42650</v>
      </c>
      <c r="AI28" s="16">
        <v>638</v>
      </c>
      <c r="AJ28" s="16">
        <v>694</v>
      </c>
      <c r="AK28" s="16">
        <v>801</v>
      </c>
      <c r="AL28" s="16">
        <v>1021</v>
      </c>
      <c r="AM28" s="16">
        <v>1123</v>
      </c>
      <c r="AP28" s="16">
        <v>15350</v>
      </c>
    </row>
    <row r="29" spans="1:43">
      <c r="A29" s="11"/>
      <c r="B29" s="11" t="s">
        <v>1118</v>
      </c>
      <c r="C29" s="11"/>
      <c r="D29" s="16">
        <v>16800</v>
      </c>
      <c r="E29" s="11">
        <f t="shared" si="1"/>
        <v>16800</v>
      </c>
      <c r="F29" s="15">
        <f t="shared" si="12"/>
        <v>458</v>
      </c>
      <c r="G29" s="12">
        <f t="shared" si="2"/>
        <v>420</v>
      </c>
      <c r="H29" s="11"/>
      <c r="I29" s="16">
        <v>19200</v>
      </c>
      <c r="J29" s="11">
        <f t="shared" si="0"/>
        <v>18000</v>
      </c>
      <c r="K29" s="15">
        <f t="shared" si="13"/>
        <v>460</v>
      </c>
      <c r="L29" s="12">
        <f t="shared" si="3"/>
        <v>450</v>
      </c>
      <c r="M29" s="11"/>
      <c r="N29" s="16">
        <v>21600</v>
      </c>
      <c r="O29" s="11">
        <f t="shared" si="4"/>
        <v>21600</v>
      </c>
      <c r="P29" s="15">
        <f t="shared" si="14"/>
        <v>554</v>
      </c>
      <c r="Q29" s="12">
        <f t="shared" si="5"/>
        <v>540</v>
      </c>
      <c r="R29" s="11"/>
      <c r="S29" s="16">
        <v>24000</v>
      </c>
      <c r="T29" s="11">
        <f t="shared" si="6"/>
        <v>24975</v>
      </c>
      <c r="U29" s="15">
        <f t="shared" si="15"/>
        <v>710</v>
      </c>
      <c r="V29" s="12">
        <f t="shared" si="7"/>
        <v>624.375</v>
      </c>
      <c r="W29" s="11"/>
      <c r="X29" s="16">
        <v>25950</v>
      </c>
      <c r="Y29" s="11">
        <f t="shared" si="8"/>
        <v>27850</v>
      </c>
      <c r="Z29" s="15">
        <f t="shared" si="16"/>
        <v>730</v>
      </c>
      <c r="AA29" s="12">
        <f t="shared" si="9"/>
        <v>696.25</v>
      </c>
      <c r="AB29" s="16">
        <v>27850</v>
      </c>
      <c r="AC29" s="16">
        <v>29800</v>
      </c>
      <c r="AD29" s="11"/>
      <c r="AE29" s="11">
        <f t="shared" si="10"/>
        <v>30750</v>
      </c>
      <c r="AF29" s="12">
        <f t="shared" si="11"/>
        <v>768.75</v>
      </c>
      <c r="AG29" s="16">
        <v>31700</v>
      </c>
      <c r="AH29" s="11"/>
      <c r="AI29" s="16">
        <v>458</v>
      </c>
      <c r="AJ29" s="16">
        <v>460</v>
      </c>
      <c r="AK29" s="16">
        <v>554</v>
      </c>
      <c r="AL29" s="16">
        <v>710</v>
      </c>
      <c r="AM29" s="16">
        <v>730</v>
      </c>
      <c r="AN29" s="11"/>
      <c r="AO29" s="11"/>
      <c r="AP29" s="16">
        <v>13800</v>
      </c>
      <c r="AQ29" s="11"/>
    </row>
    <row r="30" spans="1:43">
      <c r="B30" t="s">
        <v>1119</v>
      </c>
      <c r="D30" s="16">
        <v>16800</v>
      </c>
      <c r="E30">
        <f t="shared" si="1"/>
        <v>16800</v>
      </c>
      <c r="F30" s="15">
        <f t="shared" si="12"/>
        <v>437</v>
      </c>
      <c r="G30" s="7">
        <f t="shared" si="2"/>
        <v>420</v>
      </c>
      <c r="I30" s="16">
        <v>19200</v>
      </c>
      <c r="J30">
        <f t="shared" si="0"/>
        <v>18000</v>
      </c>
      <c r="K30" s="15">
        <f t="shared" si="13"/>
        <v>467</v>
      </c>
      <c r="L30" s="7">
        <f t="shared" si="3"/>
        <v>450</v>
      </c>
      <c r="N30" s="16">
        <v>21600</v>
      </c>
      <c r="O30">
        <f t="shared" si="4"/>
        <v>21600</v>
      </c>
      <c r="P30" s="15">
        <f t="shared" si="14"/>
        <v>554</v>
      </c>
      <c r="Q30" s="7">
        <f t="shared" si="5"/>
        <v>540</v>
      </c>
      <c r="S30" s="16">
        <v>24000</v>
      </c>
      <c r="T30">
        <f t="shared" si="6"/>
        <v>24975</v>
      </c>
      <c r="U30" s="15">
        <f t="shared" si="15"/>
        <v>701</v>
      </c>
      <c r="V30" s="7">
        <f t="shared" si="7"/>
        <v>624.375</v>
      </c>
      <c r="X30" s="16">
        <v>25950</v>
      </c>
      <c r="Y30">
        <f t="shared" si="8"/>
        <v>27850</v>
      </c>
      <c r="Z30" s="15">
        <f t="shared" si="16"/>
        <v>782</v>
      </c>
      <c r="AA30" s="7">
        <f t="shared" si="9"/>
        <v>696.25</v>
      </c>
      <c r="AB30" s="16">
        <v>27850</v>
      </c>
      <c r="AC30" s="16">
        <v>29800</v>
      </c>
      <c r="AE30">
        <f t="shared" si="10"/>
        <v>30750</v>
      </c>
      <c r="AF30" s="7">
        <f t="shared" si="11"/>
        <v>768.75</v>
      </c>
      <c r="AG30" s="16">
        <v>31700</v>
      </c>
      <c r="AI30" s="16">
        <v>437</v>
      </c>
      <c r="AJ30" s="16">
        <v>467</v>
      </c>
      <c r="AK30" s="16">
        <v>554</v>
      </c>
      <c r="AL30" s="16">
        <v>701</v>
      </c>
      <c r="AM30" s="16">
        <v>782</v>
      </c>
      <c r="AP30" s="16">
        <v>13800</v>
      </c>
    </row>
    <row r="31" spans="1:43">
      <c r="B31" t="s">
        <v>1120</v>
      </c>
      <c r="D31" s="16">
        <v>18400</v>
      </c>
      <c r="E31">
        <f t="shared" si="1"/>
        <v>18400</v>
      </c>
      <c r="F31" s="15">
        <f t="shared" si="12"/>
        <v>493</v>
      </c>
      <c r="G31" s="7">
        <f t="shared" si="2"/>
        <v>460</v>
      </c>
      <c r="I31" s="16">
        <v>21000</v>
      </c>
      <c r="J31">
        <f t="shared" si="0"/>
        <v>19700</v>
      </c>
      <c r="K31" s="15">
        <f t="shared" si="13"/>
        <v>533</v>
      </c>
      <c r="L31" s="7">
        <f t="shared" si="3"/>
        <v>492.5</v>
      </c>
      <c r="N31" s="16">
        <v>23650</v>
      </c>
      <c r="O31">
        <f t="shared" si="4"/>
        <v>23650</v>
      </c>
      <c r="P31" s="15">
        <f t="shared" si="14"/>
        <v>635</v>
      </c>
      <c r="Q31" s="7">
        <f t="shared" si="5"/>
        <v>591.25</v>
      </c>
      <c r="S31" s="16">
        <v>26250</v>
      </c>
      <c r="T31">
        <f t="shared" si="6"/>
        <v>27300</v>
      </c>
      <c r="U31" s="15">
        <f t="shared" si="15"/>
        <v>826</v>
      </c>
      <c r="V31" s="7">
        <f t="shared" si="7"/>
        <v>682.5</v>
      </c>
      <c r="X31" s="16">
        <v>28350</v>
      </c>
      <c r="Y31">
        <f t="shared" si="8"/>
        <v>30450</v>
      </c>
      <c r="Z31" s="15">
        <f t="shared" si="16"/>
        <v>850</v>
      </c>
      <c r="AA31" s="7">
        <f t="shared" si="9"/>
        <v>761.25</v>
      </c>
      <c r="AB31" s="16">
        <v>30450</v>
      </c>
      <c r="AC31" s="16">
        <v>32550</v>
      </c>
      <c r="AE31">
        <f t="shared" si="10"/>
        <v>33600</v>
      </c>
      <c r="AF31" s="7">
        <f t="shared" si="11"/>
        <v>840</v>
      </c>
      <c r="AG31" s="16">
        <v>34650</v>
      </c>
      <c r="AI31" s="16">
        <v>493</v>
      </c>
      <c r="AJ31" s="16">
        <v>533</v>
      </c>
      <c r="AK31" s="16">
        <v>635</v>
      </c>
      <c r="AL31" s="16">
        <v>826</v>
      </c>
      <c r="AM31" s="16">
        <v>850</v>
      </c>
      <c r="AP31" s="16">
        <v>14550</v>
      </c>
    </row>
    <row r="32" spans="1:43">
      <c r="B32" t="s">
        <v>1121</v>
      </c>
      <c r="D32" s="16">
        <v>17650</v>
      </c>
      <c r="E32">
        <f t="shared" si="1"/>
        <v>17650</v>
      </c>
      <c r="F32" s="15">
        <f t="shared" si="12"/>
        <v>526</v>
      </c>
      <c r="G32" s="7">
        <f t="shared" si="2"/>
        <v>441.25</v>
      </c>
      <c r="I32" s="16">
        <v>20200</v>
      </c>
      <c r="J32">
        <f t="shared" si="0"/>
        <v>18925</v>
      </c>
      <c r="K32" s="15">
        <f t="shared" si="13"/>
        <v>539</v>
      </c>
      <c r="L32" s="7">
        <f t="shared" si="3"/>
        <v>473.125</v>
      </c>
      <c r="N32" s="16">
        <v>22700</v>
      </c>
      <c r="O32">
        <f t="shared" si="4"/>
        <v>22700</v>
      </c>
      <c r="P32" s="15">
        <f t="shared" si="14"/>
        <v>636</v>
      </c>
      <c r="Q32" s="7">
        <f t="shared" si="5"/>
        <v>567.5</v>
      </c>
      <c r="S32" s="16">
        <v>25200</v>
      </c>
      <c r="T32">
        <f t="shared" si="6"/>
        <v>26225</v>
      </c>
      <c r="U32" s="15">
        <f t="shared" si="15"/>
        <v>785</v>
      </c>
      <c r="V32" s="7">
        <f t="shared" si="7"/>
        <v>655.625</v>
      </c>
      <c r="X32" s="16">
        <v>27250</v>
      </c>
      <c r="Y32">
        <f t="shared" si="8"/>
        <v>29250</v>
      </c>
      <c r="Z32" s="15">
        <f t="shared" si="16"/>
        <v>916</v>
      </c>
      <c r="AA32" s="7">
        <f t="shared" si="9"/>
        <v>731.25</v>
      </c>
      <c r="AB32" s="16">
        <v>29250</v>
      </c>
      <c r="AC32" s="16">
        <v>31250</v>
      </c>
      <c r="AE32">
        <f t="shared" si="10"/>
        <v>32275</v>
      </c>
      <c r="AF32" s="7">
        <f t="shared" si="11"/>
        <v>806.875</v>
      </c>
      <c r="AG32" s="16">
        <v>33300</v>
      </c>
      <c r="AI32" s="16">
        <v>526</v>
      </c>
      <c r="AJ32" s="16">
        <v>539</v>
      </c>
      <c r="AK32" s="16">
        <v>636</v>
      </c>
      <c r="AL32" s="16">
        <v>785</v>
      </c>
      <c r="AM32" s="16">
        <v>916</v>
      </c>
      <c r="AP32" s="16">
        <v>14650</v>
      </c>
    </row>
    <row r="33" spans="1:43">
      <c r="B33" t="s">
        <v>1122</v>
      </c>
      <c r="D33" s="16">
        <v>19100</v>
      </c>
      <c r="E33">
        <f t="shared" si="1"/>
        <v>19100</v>
      </c>
      <c r="F33" s="15">
        <f t="shared" si="12"/>
        <v>499</v>
      </c>
      <c r="G33" s="7">
        <f t="shared" si="2"/>
        <v>477.5</v>
      </c>
      <c r="I33" s="16">
        <v>21800</v>
      </c>
      <c r="J33">
        <f t="shared" si="0"/>
        <v>20450</v>
      </c>
      <c r="K33" s="15">
        <f t="shared" si="13"/>
        <v>500</v>
      </c>
      <c r="L33" s="7">
        <f t="shared" si="3"/>
        <v>511.25</v>
      </c>
      <c r="N33" s="16">
        <v>24550</v>
      </c>
      <c r="O33">
        <f t="shared" si="4"/>
        <v>24550</v>
      </c>
      <c r="P33" s="15">
        <f t="shared" si="14"/>
        <v>602</v>
      </c>
      <c r="Q33" s="7">
        <f t="shared" si="5"/>
        <v>613.75</v>
      </c>
      <c r="S33" s="16">
        <v>27250</v>
      </c>
      <c r="T33">
        <f t="shared" si="6"/>
        <v>28350</v>
      </c>
      <c r="U33" s="15">
        <f t="shared" si="15"/>
        <v>815</v>
      </c>
      <c r="V33" s="7">
        <f t="shared" si="7"/>
        <v>708.75</v>
      </c>
      <c r="X33" s="16">
        <v>29450</v>
      </c>
      <c r="Y33">
        <f t="shared" si="8"/>
        <v>31650</v>
      </c>
      <c r="Z33" s="15">
        <f t="shared" si="16"/>
        <v>840</v>
      </c>
      <c r="AA33" s="7">
        <f t="shared" si="9"/>
        <v>791.25</v>
      </c>
      <c r="AB33" s="16">
        <v>31650</v>
      </c>
      <c r="AC33" s="16">
        <v>33800</v>
      </c>
      <c r="AE33">
        <f t="shared" si="10"/>
        <v>34900</v>
      </c>
      <c r="AF33" s="7">
        <f t="shared" si="11"/>
        <v>872.5</v>
      </c>
      <c r="AG33" s="16">
        <v>36000</v>
      </c>
      <c r="AI33" s="16">
        <v>499</v>
      </c>
      <c r="AJ33" s="16">
        <v>500</v>
      </c>
      <c r="AK33" s="16">
        <v>602</v>
      </c>
      <c r="AL33" s="16">
        <v>815</v>
      </c>
      <c r="AM33" s="16">
        <v>840</v>
      </c>
      <c r="AP33" s="16">
        <v>14050</v>
      </c>
    </row>
    <row r="34" spans="1:43">
      <c r="A34" s="11"/>
      <c r="B34" s="11" t="s">
        <v>1123</v>
      </c>
      <c r="C34" s="11"/>
      <c r="D34" s="16">
        <v>18650</v>
      </c>
      <c r="E34" s="11">
        <f t="shared" si="1"/>
        <v>18650</v>
      </c>
      <c r="F34" s="15">
        <f t="shared" si="12"/>
        <v>437</v>
      </c>
      <c r="G34" s="12">
        <f t="shared" si="2"/>
        <v>466.25</v>
      </c>
      <c r="H34" s="11"/>
      <c r="I34" s="16">
        <v>21300</v>
      </c>
      <c r="J34" s="11">
        <f t="shared" si="0"/>
        <v>19975</v>
      </c>
      <c r="K34" s="15">
        <f t="shared" si="13"/>
        <v>467</v>
      </c>
      <c r="L34" s="12">
        <f t="shared" si="3"/>
        <v>499.375</v>
      </c>
      <c r="M34" s="11"/>
      <c r="N34" s="16">
        <v>23950</v>
      </c>
      <c r="O34" s="11">
        <f t="shared" si="4"/>
        <v>23950</v>
      </c>
      <c r="P34" s="15">
        <f t="shared" si="14"/>
        <v>554</v>
      </c>
      <c r="Q34" s="12">
        <f t="shared" si="5"/>
        <v>598.75</v>
      </c>
      <c r="R34" s="11"/>
      <c r="S34" s="16">
        <v>26600</v>
      </c>
      <c r="T34" s="11">
        <f t="shared" si="6"/>
        <v>27675</v>
      </c>
      <c r="U34" s="15">
        <f t="shared" si="15"/>
        <v>701</v>
      </c>
      <c r="V34" s="12">
        <f t="shared" si="7"/>
        <v>691.875</v>
      </c>
      <c r="W34" s="11"/>
      <c r="X34" s="16">
        <v>28750</v>
      </c>
      <c r="Y34" s="11">
        <f t="shared" si="8"/>
        <v>30900</v>
      </c>
      <c r="Z34" s="15">
        <f t="shared" si="16"/>
        <v>782</v>
      </c>
      <c r="AA34" s="12">
        <f t="shared" si="9"/>
        <v>772.5</v>
      </c>
      <c r="AB34" s="16">
        <v>30900</v>
      </c>
      <c r="AC34" s="16">
        <v>33000</v>
      </c>
      <c r="AD34" s="11"/>
      <c r="AE34" s="11">
        <f t="shared" si="10"/>
        <v>34075</v>
      </c>
      <c r="AF34" s="12">
        <f t="shared" si="11"/>
        <v>851.875</v>
      </c>
      <c r="AG34" s="16">
        <v>35150</v>
      </c>
      <c r="AH34" s="11"/>
      <c r="AI34" s="16">
        <v>437</v>
      </c>
      <c r="AJ34" s="16">
        <v>467</v>
      </c>
      <c r="AK34" s="16">
        <v>554</v>
      </c>
      <c r="AL34" s="16">
        <v>701</v>
      </c>
      <c r="AM34" s="16">
        <v>782</v>
      </c>
      <c r="AN34" s="11"/>
      <c r="AO34" s="11"/>
      <c r="AP34" s="16">
        <v>14450</v>
      </c>
      <c r="AQ34" s="11"/>
    </row>
    <row r="35" spans="1:43">
      <c r="B35" t="s">
        <v>1124</v>
      </c>
      <c r="D35" s="16">
        <v>21150</v>
      </c>
      <c r="E35">
        <f t="shared" si="1"/>
        <v>21150</v>
      </c>
      <c r="F35" s="15">
        <f t="shared" si="12"/>
        <v>767</v>
      </c>
      <c r="G35" s="7">
        <f t="shared" si="2"/>
        <v>528.75</v>
      </c>
      <c r="I35" s="16">
        <v>24150</v>
      </c>
      <c r="J35">
        <f t="shared" si="0"/>
        <v>22650</v>
      </c>
      <c r="K35" s="15">
        <f t="shared" si="13"/>
        <v>850</v>
      </c>
      <c r="L35" s="7">
        <f t="shared" si="3"/>
        <v>566.25</v>
      </c>
      <c r="N35" s="16">
        <v>27150</v>
      </c>
      <c r="O35">
        <f t="shared" si="4"/>
        <v>27150</v>
      </c>
      <c r="P35" s="15">
        <f t="shared" si="14"/>
        <v>994</v>
      </c>
      <c r="Q35" s="7">
        <f t="shared" si="5"/>
        <v>678.75</v>
      </c>
      <c r="S35" s="16">
        <v>30150</v>
      </c>
      <c r="T35">
        <f t="shared" si="6"/>
        <v>31375</v>
      </c>
      <c r="U35" s="15">
        <f t="shared" si="15"/>
        <v>1276</v>
      </c>
      <c r="V35" s="7">
        <f t="shared" si="7"/>
        <v>784.375</v>
      </c>
      <c r="X35" s="16">
        <v>32600</v>
      </c>
      <c r="Y35">
        <f t="shared" si="8"/>
        <v>35000</v>
      </c>
      <c r="Z35" s="15">
        <f t="shared" si="16"/>
        <v>1319</v>
      </c>
      <c r="AA35" s="7">
        <f t="shared" si="9"/>
        <v>875</v>
      </c>
      <c r="AB35" s="16">
        <v>35000</v>
      </c>
      <c r="AC35" s="16">
        <v>37400</v>
      </c>
      <c r="AE35">
        <f t="shared" si="10"/>
        <v>38600</v>
      </c>
      <c r="AF35" s="7">
        <f t="shared" si="11"/>
        <v>965</v>
      </c>
      <c r="AG35" s="16">
        <v>39800</v>
      </c>
      <c r="AI35" s="16">
        <v>767</v>
      </c>
      <c r="AJ35" s="16">
        <v>850</v>
      </c>
      <c r="AK35" s="16">
        <v>994</v>
      </c>
      <c r="AL35" s="16">
        <v>1276</v>
      </c>
      <c r="AM35" s="16">
        <v>1319</v>
      </c>
      <c r="AP35" s="16">
        <v>17450</v>
      </c>
    </row>
    <row r="36" spans="1:43">
      <c r="B36" t="s">
        <v>1125</v>
      </c>
      <c r="D36" s="16">
        <v>18100</v>
      </c>
      <c r="E36">
        <f t="shared" si="1"/>
        <v>18100</v>
      </c>
      <c r="F36" s="15">
        <f t="shared" si="12"/>
        <v>460</v>
      </c>
      <c r="G36" s="7">
        <f t="shared" si="2"/>
        <v>452.5</v>
      </c>
      <c r="I36" s="16">
        <v>20700</v>
      </c>
      <c r="J36">
        <f t="shared" si="0"/>
        <v>19400</v>
      </c>
      <c r="K36" s="15">
        <f t="shared" si="13"/>
        <v>461</v>
      </c>
      <c r="L36" s="7">
        <f t="shared" si="3"/>
        <v>485</v>
      </c>
      <c r="N36" s="16">
        <v>23300</v>
      </c>
      <c r="O36">
        <f t="shared" si="4"/>
        <v>23300</v>
      </c>
      <c r="P36" s="15">
        <f t="shared" si="14"/>
        <v>554</v>
      </c>
      <c r="Q36" s="7">
        <f t="shared" si="5"/>
        <v>582.5</v>
      </c>
      <c r="S36" s="16">
        <v>25850</v>
      </c>
      <c r="T36">
        <f t="shared" si="6"/>
        <v>26900</v>
      </c>
      <c r="U36" s="15">
        <f t="shared" si="15"/>
        <v>701</v>
      </c>
      <c r="V36" s="7">
        <f t="shared" si="7"/>
        <v>672.5</v>
      </c>
      <c r="X36" s="16">
        <v>27950</v>
      </c>
      <c r="Y36">
        <f t="shared" si="8"/>
        <v>30000</v>
      </c>
      <c r="Z36" s="15">
        <f t="shared" si="16"/>
        <v>720</v>
      </c>
      <c r="AA36" s="7">
        <f t="shared" si="9"/>
        <v>750</v>
      </c>
      <c r="AB36" s="16">
        <v>30000</v>
      </c>
      <c r="AC36" s="16">
        <v>32100</v>
      </c>
      <c r="AE36">
        <f t="shared" si="10"/>
        <v>33125</v>
      </c>
      <c r="AF36" s="7">
        <f t="shared" si="11"/>
        <v>828.125</v>
      </c>
      <c r="AG36" s="16">
        <v>34150</v>
      </c>
      <c r="AI36" s="16">
        <v>460</v>
      </c>
      <c r="AJ36" s="16">
        <v>461</v>
      </c>
      <c r="AK36" s="16">
        <v>554</v>
      </c>
      <c r="AL36" s="16">
        <v>701</v>
      </c>
      <c r="AM36" s="16">
        <v>720</v>
      </c>
      <c r="AP36" s="16">
        <v>13800</v>
      </c>
    </row>
    <row r="37" spans="1:43">
      <c r="B37" t="s">
        <v>1126</v>
      </c>
      <c r="D37" s="16">
        <v>21750</v>
      </c>
      <c r="E37">
        <f t="shared" si="1"/>
        <v>21750</v>
      </c>
      <c r="F37" s="15">
        <f t="shared" si="12"/>
        <v>570</v>
      </c>
      <c r="G37" s="7">
        <f t="shared" si="2"/>
        <v>543.75</v>
      </c>
      <c r="I37" s="16">
        <v>24850</v>
      </c>
      <c r="J37">
        <f t="shared" si="0"/>
        <v>23300</v>
      </c>
      <c r="K37" s="15">
        <f t="shared" si="13"/>
        <v>654</v>
      </c>
      <c r="L37" s="7">
        <f t="shared" si="3"/>
        <v>582.5</v>
      </c>
      <c r="N37" s="16">
        <v>27950</v>
      </c>
      <c r="O37">
        <f t="shared" si="4"/>
        <v>27950</v>
      </c>
      <c r="P37" s="15">
        <f t="shared" si="14"/>
        <v>725</v>
      </c>
      <c r="Q37" s="7">
        <f t="shared" si="5"/>
        <v>698.75</v>
      </c>
      <c r="S37" s="16">
        <v>31050</v>
      </c>
      <c r="T37">
        <f t="shared" si="6"/>
        <v>32300</v>
      </c>
      <c r="U37" s="15">
        <f t="shared" si="15"/>
        <v>930</v>
      </c>
      <c r="V37" s="7">
        <f t="shared" si="7"/>
        <v>807.5</v>
      </c>
      <c r="X37" s="16">
        <v>33550</v>
      </c>
      <c r="Y37">
        <f t="shared" si="8"/>
        <v>36050</v>
      </c>
      <c r="Z37" s="15">
        <f t="shared" si="16"/>
        <v>1180</v>
      </c>
      <c r="AA37" s="7">
        <f t="shared" si="9"/>
        <v>901.25</v>
      </c>
      <c r="AB37" s="16">
        <v>36050</v>
      </c>
      <c r="AC37" s="16">
        <v>38550</v>
      </c>
      <c r="AE37">
        <f t="shared" si="10"/>
        <v>39775</v>
      </c>
      <c r="AF37" s="7">
        <f t="shared" si="11"/>
        <v>994.375</v>
      </c>
      <c r="AG37" s="16">
        <v>41000</v>
      </c>
      <c r="AI37" s="16">
        <v>570</v>
      </c>
      <c r="AJ37" s="16">
        <v>654</v>
      </c>
      <c r="AK37" s="16">
        <v>725</v>
      </c>
      <c r="AL37" s="16">
        <v>930</v>
      </c>
      <c r="AM37" s="16">
        <v>1180</v>
      </c>
      <c r="AP37" s="16">
        <v>15950</v>
      </c>
    </row>
    <row r="38" spans="1:43">
      <c r="B38" t="s">
        <v>1127</v>
      </c>
      <c r="D38" s="16">
        <v>21500</v>
      </c>
      <c r="E38">
        <f t="shared" si="1"/>
        <v>21500</v>
      </c>
      <c r="F38" s="15">
        <f t="shared" si="12"/>
        <v>546</v>
      </c>
      <c r="G38" s="7">
        <f t="shared" si="2"/>
        <v>537.5</v>
      </c>
      <c r="I38" s="16">
        <v>24550</v>
      </c>
      <c r="J38">
        <f t="shared" si="0"/>
        <v>23025</v>
      </c>
      <c r="K38" s="15">
        <f t="shared" si="13"/>
        <v>550</v>
      </c>
      <c r="L38" s="7">
        <f t="shared" si="3"/>
        <v>575.625</v>
      </c>
      <c r="N38" s="16">
        <v>27600</v>
      </c>
      <c r="O38">
        <f t="shared" si="4"/>
        <v>27600</v>
      </c>
      <c r="P38" s="15">
        <f t="shared" si="14"/>
        <v>683</v>
      </c>
      <c r="Q38" s="7">
        <f t="shared" si="5"/>
        <v>690</v>
      </c>
      <c r="S38" s="16">
        <v>30650</v>
      </c>
      <c r="T38">
        <f t="shared" si="6"/>
        <v>31900</v>
      </c>
      <c r="U38" s="15">
        <f t="shared" si="15"/>
        <v>897</v>
      </c>
      <c r="V38" s="7">
        <f t="shared" si="7"/>
        <v>797.5</v>
      </c>
      <c r="X38" s="16">
        <v>33150</v>
      </c>
      <c r="Y38">
        <f t="shared" si="8"/>
        <v>35600</v>
      </c>
      <c r="Z38" s="15">
        <f t="shared" si="16"/>
        <v>1022</v>
      </c>
      <c r="AA38" s="7">
        <f t="shared" si="9"/>
        <v>890</v>
      </c>
      <c r="AB38" s="16">
        <v>35600</v>
      </c>
      <c r="AC38" s="16">
        <v>38050</v>
      </c>
      <c r="AE38">
        <f t="shared" si="10"/>
        <v>39275</v>
      </c>
      <c r="AF38" s="7">
        <f t="shared" si="11"/>
        <v>981.875</v>
      </c>
      <c r="AG38" s="16">
        <v>40500</v>
      </c>
      <c r="AI38" s="16">
        <v>546</v>
      </c>
      <c r="AJ38" s="16">
        <v>550</v>
      </c>
      <c r="AK38" s="16">
        <v>683</v>
      </c>
      <c r="AL38" s="16">
        <v>897</v>
      </c>
      <c r="AM38" s="16">
        <v>1022</v>
      </c>
      <c r="AP38" s="16">
        <v>16850</v>
      </c>
    </row>
    <row r="39" spans="1:43">
      <c r="A39" s="11"/>
      <c r="B39" s="11" t="s">
        <v>1128</v>
      </c>
      <c r="C39" s="11"/>
      <c r="D39" s="16">
        <v>17450</v>
      </c>
      <c r="E39" s="11">
        <f t="shared" si="1"/>
        <v>17450</v>
      </c>
      <c r="F39" s="15">
        <f t="shared" si="12"/>
        <v>420</v>
      </c>
      <c r="G39" s="12">
        <f t="shared" si="2"/>
        <v>436.25</v>
      </c>
      <c r="H39" s="11"/>
      <c r="I39" s="16">
        <v>19950</v>
      </c>
      <c r="J39" s="11">
        <f t="shared" si="0"/>
        <v>18700</v>
      </c>
      <c r="K39" s="15">
        <f t="shared" si="13"/>
        <v>453</v>
      </c>
      <c r="L39" s="12">
        <f t="shared" si="3"/>
        <v>467.5</v>
      </c>
      <c r="M39" s="11"/>
      <c r="N39" s="16">
        <v>22450</v>
      </c>
      <c r="O39" s="11">
        <f t="shared" si="4"/>
        <v>22450</v>
      </c>
      <c r="P39" s="15">
        <f t="shared" si="14"/>
        <v>554</v>
      </c>
      <c r="Q39" s="12">
        <f t="shared" si="5"/>
        <v>561.25</v>
      </c>
      <c r="R39" s="11"/>
      <c r="S39" s="16">
        <v>24900</v>
      </c>
      <c r="T39" s="11">
        <f t="shared" si="6"/>
        <v>25900</v>
      </c>
      <c r="U39" s="15">
        <f t="shared" si="15"/>
        <v>702</v>
      </c>
      <c r="V39" s="12">
        <f t="shared" si="7"/>
        <v>647.5</v>
      </c>
      <c r="W39" s="11"/>
      <c r="X39" s="16">
        <v>26900</v>
      </c>
      <c r="Y39" s="11">
        <f t="shared" si="8"/>
        <v>28900</v>
      </c>
      <c r="Z39" s="15">
        <f t="shared" si="16"/>
        <v>849</v>
      </c>
      <c r="AA39" s="12">
        <f t="shared" si="9"/>
        <v>722.5</v>
      </c>
      <c r="AB39" s="16">
        <v>28900</v>
      </c>
      <c r="AC39" s="16">
        <v>30900</v>
      </c>
      <c r="AD39" s="11"/>
      <c r="AE39" s="11">
        <f t="shared" si="10"/>
        <v>31900</v>
      </c>
      <c r="AF39" s="12">
        <f t="shared" si="11"/>
        <v>797.5</v>
      </c>
      <c r="AG39" s="16">
        <v>32900</v>
      </c>
      <c r="AH39" s="11"/>
      <c r="AI39" s="16">
        <v>420</v>
      </c>
      <c r="AJ39" s="16">
        <v>453</v>
      </c>
      <c r="AK39" s="16">
        <v>554</v>
      </c>
      <c r="AL39" s="16">
        <v>702</v>
      </c>
      <c r="AM39" s="16">
        <v>849</v>
      </c>
      <c r="AN39" s="11"/>
      <c r="AO39" s="11"/>
      <c r="AP39" s="16">
        <v>15350</v>
      </c>
      <c r="AQ39" s="11"/>
    </row>
    <row r="40" spans="1:43">
      <c r="B40" t="s">
        <v>1129</v>
      </c>
      <c r="D40" s="16">
        <v>18000</v>
      </c>
      <c r="E40">
        <f t="shared" si="1"/>
        <v>18000</v>
      </c>
      <c r="F40" s="15">
        <f t="shared" si="12"/>
        <v>547</v>
      </c>
      <c r="G40" s="7">
        <f t="shared" si="2"/>
        <v>450</v>
      </c>
      <c r="I40" s="16">
        <v>20600</v>
      </c>
      <c r="J40">
        <f t="shared" si="0"/>
        <v>19300</v>
      </c>
      <c r="K40" s="15">
        <f t="shared" si="13"/>
        <v>564</v>
      </c>
      <c r="L40" s="7">
        <f t="shared" si="3"/>
        <v>482.5</v>
      </c>
      <c r="N40" s="16">
        <v>23150</v>
      </c>
      <c r="O40">
        <f t="shared" si="4"/>
        <v>23150</v>
      </c>
      <c r="P40" s="15">
        <f t="shared" si="14"/>
        <v>657</v>
      </c>
      <c r="Q40" s="7">
        <f t="shared" si="5"/>
        <v>578.75</v>
      </c>
      <c r="S40" s="16">
        <v>25700</v>
      </c>
      <c r="T40">
        <f t="shared" si="6"/>
        <v>26750</v>
      </c>
      <c r="U40" s="15">
        <f t="shared" si="15"/>
        <v>855</v>
      </c>
      <c r="V40" s="7">
        <f t="shared" si="7"/>
        <v>668.75</v>
      </c>
      <c r="X40" s="16">
        <v>27800</v>
      </c>
      <c r="Y40">
        <f t="shared" si="8"/>
        <v>29850</v>
      </c>
      <c r="Z40" s="15">
        <f t="shared" si="16"/>
        <v>883</v>
      </c>
      <c r="AA40" s="7">
        <f t="shared" si="9"/>
        <v>746.25</v>
      </c>
      <c r="AB40" s="16">
        <v>29850</v>
      </c>
      <c r="AC40" s="16">
        <v>31900</v>
      </c>
      <c r="AE40">
        <f t="shared" si="10"/>
        <v>32925</v>
      </c>
      <c r="AF40" s="7">
        <f t="shared" si="11"/>
        <v>823.125</v>
      </c>
      <c r="AG40" s="16">
        <v>33950</v>
      </c>
      <c r="AI40" s="16">
        <v>547</v>
      </c>
      <c r="AJ40" s="16">
        <v>564</v>
      </c>
      <c r="AK40" s="16">
        <v>657</v>
      </c>
      <c r="AL40" s="16">
        <v>855</v>
      </c>
      <c r="AM40" s="16">
        <v>883</v>
      </c>
      <c r="AP40" s="16">
        <v>16200</v>
      </c>
    </row>
    <row r="41" spans="1:43">
      <c r="B41" t="s">
        <v>1130</v>
      </c>
      <c r="D41" s="16">
        <v>22650</v>
      </c>
      <c r="E41">
        <f t="shared" si="1"/>
        <v>22650</v>
      </c>
      <c r="F41" s="15">
        <f t="shared" si="12"/>
        <v>638</v>
      </c>
      <c r="G41" s="7">
        <f t="shared" si="2"/>
        <v>566.25</v>
      </c>
      <c r="I41" s="16">
        <v>25850</v>
      </c>
      <c r="J41">
        <f t="shared" si="0"/>
        <v>24250</v>
      </c>
      <c r="K41" s="15">
        <f t="shared" si="13"/>
        <v>694</v>
      </c>
      <c r="L41" s="7">
        <f t="shared" si="3"/>
        <v>606.25</v>
      </c>
      <c r="N41" s="16">
        <v>29100</v>
      </c>
      <c r="O41">
        <f t="shared" si="4"/>
        <v>29100</v>
      </c>
      <c r="P41" s="15">
        <f t="shared" si="14"/>
        <v>801</v>
      </c>
      <c r="Q41" s="7">
        <f t="shared" si="5"/>
        <v>727.5</v>
      </c>
      <c r="S41" s="16">
        <v>32300</v>
      </c>
      <c r="T41">
        <f t="shared" si="6"/>
        <v>33600</v>
      </c>
      <c r="U41" s="15">
        <f t="shared" si="15"/>
        <v>1021</v>
      </c>
      <c r="V41" s="7">
        <f t="shared" si="7"/>
        <v>840</v>
      </c>
      <c r="X41" s="16">
        <v>34900</v>
      </c>
      <c r="Y41">
        <f t="shared" si="8"/>
        <v>37500</v>
      </c>
      <c r="Z41" s="15">
        <f t="shared" si="16"/>
        <v>1123</v>
      </c>
      <c r="AA41" s="7">
        <f t="shared" si="9"/>
        <v>937.5</v>
      </c>
      <c r="AB41" s="16">
        <v>37500</v>
      </c>
      <c r="AC41" s="16">
        <v>40100</v>
      </c>
      <c r="AE41">
        <f t="shared" si="10"/>
        <v>41375</v>
      </c>
      <c r="AF41" s="7">
        <f t="shared" si="11"/>
        <v>1034.375</v>
      </c>
      <c r="AG41" s="16">
        <v>42650</v>
      </c>
      <c r="AI41" s="16">
        <v>638</v>
      </c>
      <c r="AJ41" s="16">
        <v>694</v>
      </c>
      <c r="AK41" s="16">
        <v>801</v>
      </c>
      <c r="AL41" s="16">
        <v>1021</v>
      </c>
      <c r="AM41" s="16">
        <v>1123</v>
      </c>
      <c r="AP41" s="16">
        <v>19200</v>
      </c>
    </row>
    <row r="42" spans="1:43">
      <c r="B42" t="s">
        <v>1131</v>
      </c>
      <c r="D42" s="16">
        <v>16800</v>
      </c>
      <c r="E42">
        <f t="shared" si="1"/>
        <v>16800</v>
      </c>
      <c r="F42" s="15">
        <f t="shared" si="12"/>
        <v>437</v>
      </c>
      <c r="G42" s="7">
        <f t="shared" si="2"/>
        <v>420</v>
      </c>
      <c r="I42" s="16">
        <v>19200</v>
      </c>
      <c r="J42">
        <f t="shared" si="0"/>
        <v>18000</v>
      </c>
      <c r="K42" s="15">
        <f t="shared" si="13"/>
        <v>467</v>
      </c>
      <c r="L42" s="7">
        <f t="shared" si="3"/>
        <v>450</v>
      </c>
      <c r="N42" s="16">
        <v>21600</v>
      </c>
      <c r="O42">
        <f t="shared" si="4"/>
        <v>21600</v>
      </c>
      <c r="P42" s="15">
        <f t="shared" si="14"/>
        <v>554</v>
      </c>
      <c r="Q42" s="7">
        <f t="shared" si="5"/>
        <v>540</v>
      </c>
      <c r="S42" s="16">
        <v>24000</v>
      </c>
      <c r="T42">
        <f t="shared" si="6"/>
        <v>24975</v>
      </c>
      <c r="U42" s="15">
        <f t="shared" si="15"/>
        <v>701</v>
      </c>
      <c r="V42" s="7">
        <f t="shared" si="7"/>
        <v>624.375</v>
      </c>
      <c r="X42" s="16">
        <v>25950</v>
      </c>
      <c r="Y42">
        <f t="shared" si="8"/>
        <v>27850</v>
      </c>
      <c r="Z42" s="15">
        <f t="shared" si="16"/>
        <v>782</v>
      </c>
      <c r="AA42" s="7">
        <f t="shared" si="9"/>
        <v>696.25</v>
      </c>
      <c r="AB42" s="16">
        <v>27850</v>
      </c>
      <c r="AC42" s="16">
        <v>29800</v>
      </c>
      <c r="AE42">
        <f t="shared" si="10"/>
        <v>30750</v>
      </c>
      <c r="AF42" s="7">
        <f t="shared" si="11"/>
        <v>768.75</v>
      </c>
      <c r="AG42" s="16">
        <v>31700</v>
      </c>
      <c r="AI42" s="16">
        <v>437</v>
      </c>
      <c r="AJ42" s="16">
        <v>467</v>
      </c>
      <c r="AK42" s="16">
        <v>554</v>
      </c>
      <c r="AL42" s="16">
        <v>701</v>
      </c>
      <c r="AM42" s="16">
        <v>782</v>
      </c>
      <c r="AP42" s="16">
        <v>13800</v>
      </c>
    </row>
    <row r="43" spans="1:43">
      <c r="B43" t="s">
        <v>773</v>
      </c>
      <c r="D43" s="16">
        <v>16800</v>
      </c>
      <c r="E43">
        <f t="shared" si="1"/>
        <v>16800</v>
      </c>
      <c r="F43" s="15">
        <f t="shared" si="12"/>
        <v>471</v>
      </c>
      <c r="G43" s="7">
        <f t="shared" si="2"/>
        <v>420</v>
      </c>
      <c r="I43" s="16">
        <v>19200</v>
      </c>
      <c r="J43">
        <f t="shared" si="0"/>
        <v>18000</v>
      </c>
      <c r="K43" s="15">
        <f t="shared" si="13"/>
        <v>473</v>
      </c>
      <c r="L43" s="7">
        <f t="shared" si="3"/>
        <v>450</v>
      </c>
      <c r="N43" s="16">
        <v>21600</v>
      </c>
      <c r="O43">
        <f t="shared" si="4"/>
        <v>21600</v>
      </c>
      <c r="P43" s="15">
        <f t="shared" si="14"/>
        <v>588</v>
      </c>
      <c r="Q43" s="7">
        <f t="shared" si="5"/>
        <v>540</v>
      </c>
      <c r="S43" s="16">
        <v>24000</v>
      </c>
      <c r="T43">
        <f t="shared" si="6"/>
        <v>24975</v>
      </c>
      <c r="U43" s="15">
        <f t="shared" si="15"/>
        <v>705</v>
      </c>
      <c r="V43" s="7">
        <f t="shared" si="7"/>
        <v>624.375</v>
      </c>
      <c r="X43" s="16">
        <v>25950</v>
      </c>
      <c r="Y43">
        <f t="shared" si="8"/>
        <v>27850</v>
      </c>
      <c r="Z43" s="15">
        <f t="shared" si="16"/>
        <v>763</v>
      </c>
      <c r="AA43" s="7">
        <f t="shared" si="9"/>
        <v>696.25</v>
      </c>
      <c r="AB43" s="16">
        <v>27850</v>
      </c>
      <c r="AC43" s="16">
        <v>29800</v>
      </c>
      <c r="AE43">
        <f t="shared" si="10"/>
        <v>30750</v>
      </c>
      <c r="AF43" s="7">
        <f t="shared" si="11"/>
        <v>768.75</v>
      </c>
      <c r="AG43" s="16">
        <v>31700</v>
      </c>
      <c r="AI43" s="16">
        <v>471</v>
      </c>
      <c r="AJ43" s="16">
        <v>473</v>
      </c>
      <c r="AK43" s="16">
        <v>588</v>
      </c>
      <c r="AL43" s="16">
        <v>705</v>
      </c>
      <c r="AM43" s="16">
        <v>763</v>
      </c>
      <c r="AP43" s="16">
        <v>13800</v>
      </c>
    </row>
    <row r="44" spans="1:43">
      <c r="A44" s="11"/>
      <c r="B44" s="11" t="s">
        <v>774</v>
      </c>
      <c r="C44" s="11"/>
      <c r="D44" s="16">
        <v>16800</v>
      </c>
      <c r="E44" s="11">
        <f t="shared" si="1"/>
        <v>16800</v>
      </c>
      <c r="F44" s="15">
        <f t="shared" si="12"/>
        <v>533</v>
      </c>
      <c r="G44" s="12">
        <f t="shared" si="2"/>
        <v>420</v>
      </c>
      <c r="H44" s="11"/>
      <c r="I44" s="16">
        <v>19200</v>
      </c>
      <c r="J44" s="11">
        <f t="shared" si="0"/>
        <v>18000</v>
      </c>
      <c r="K44" s="15">
        <f t="shared" si="13"/>
        <v>535</v>
      </c>
      <c r="L44" s="12">
        <f t="shared" si="3"/>
        <v>450</v>
      </c>
      <c r="M44" s="11"/>
      <c r="N44" s="16">
        <v>21600</v>
      </c>
      <c r="O44" s="11">
        <f t="shared" si="4"/>
        <v>21600</v>
      </c>
      <c r="P44" s="15">
        <f t="shared" si="14"/>
        <v>641</v>
      </c>
      <c r="Q44" s="12">
        <f t="shared" si="5"/>
        <v>540</v>
      </c>
      <c r="R44" s="11"/>
      <c r="S44" s="16">
        <v>24000</v>
      </c>
      <c r="T44" s="11">
        <f t="shared" si="6"/>
        <v>24975</v>
      </c>
      <c r="U44" s="15">
        <f t="shared" si="15"/>
        <v>768</v>
      </c>
      <c r="V44" s="12">
        <f t="shared" si="7"/>
        <v>624.375</v>
      </c>
      <c r="W44" s="11"/>
      <c r="X44" s="16">
        <v>25950</v>
      </c>
      <c r="Y44" s="11">
        <f t="shared" si="8"/>
        <v>27850</v>
      </c>
      <c r="Z44" s="15">
        <f t="shared" si="16"/>
        <v>992</v>
      </c>
      <c r="AA44" s="12">
        <f t="shared" si="9"/>
        <v>696.25</v>
      </c>
      <c r="AB44" s="16">
        <v>27850</v>
      </c>
      <c r="AC44" s="16">
        <v>29800</v>
      </c>
      <c r="AD44" s="11"/>
      <c r="AE44" s="11">
        <f t="shared" si="10"/>
        <v>30750</v>
      </c>
      <c r="AF44" s="12">
        <f t="shared" si="11"/>
        <v>768.75</v>
      </c>
      <c r="AG44" s="16">
        <v>31700</v>
      </c>
      <c r="AH44" s="11"/>
      <c r="AI44" s="16">
        <v>533</v>
      </c>
      <c r="AJ44" s="16">
        <v>535</v>
      </c>
      <c r="AK44" s="16">
        <v>641</v>
      </c>
      <c r="AL44" s="16">
        <v>768</v>
      </c>
      <c r="AM44" s="16">
        <v>992</v>
      </c>
      <c r="AN44" s="11"/>
      <c r="AO44" s="11"/>
      <c r="AP44" s="16">
        <v>13800</v>
      </c>
      <c r="AQ44" s="11"/>
    </row>
    <row r="45" spans="1:43">
      <c r="B45" t="s">
        <v>775</v>
      </c>
      <c r="D45" s="16">
        <v>21150</v>
      </c>
      <c r="E45">
        <f t="shared" si="1"/>
        <v>21150</v>
      </c>
      <c r="F45" s="15">
        <f t="shared" si="12"/>
        <v>767</v>
      </c>
      <c r="G45" s="7">
        <f t="shared" si="2"/>
        <v>528.75</v>
      </c>
      <c r="I45" s="16">
        <v>24150</v>
      </c>
      <c r="J45">
        <f t="shared" si="0"/>
        <v>22650</v>
      </c>
      <c r="K45" s="15">
        <f t="shared" si="13"/>
        <v>850</v>
      </c>
      <c r="L45" s="7">
        <f t="shared" si="3"/>
        <v>566.25</v>
      </c>
      <c r="N45" s="16">
        <v>27150</v>
      </c>
      <c r="O45">
        <f t="shared" si="4"/>
        <v>27150</v>
      </c>
      <c r="P45" s="15">
        <f t="shared" si="14"/>
        <v>994</v>
      </c>
      <c r="Q45" s="7">
        <f t="shared" si="5"/>
        <v>678.75</v>
      </c>
      <c r="S45" s="16">
        <v>30150</v>
      </c>
      <c r="T45">
        <f t="shared" si="6"/>
        <v>31375</v>
      </c>
      <c r="U45" s="15">
        <f t="shared" si="15"/>
        <v>1276</v>
      </c>
      <c r="V45" s="7">
        <f t="shared" si="7"/>
        <v>784.375</v>
      </c>
      <c r="X45" s="16">
        <v>32600</v>
      </c>
      <c r="Y45">
        <f t="shared" si="8"/>
        <v>35000</v>
      </c>
      <c r="Z45" s="15">
        <f t="shared" si="16"/>
        <v>1319</v>
      </c>
      <c r="AA45" s="7">
        <f t="shared" si="9"/>
        <v>875</v>
      </c>
      <c r="AB45" s="16">
        <v>35000</v>
      </c>
      <c r="AC45" s="16">
        <v>37400</v>
      </c>
      <c r="AE45">
        <f t="shared" si="10"/>
        <v>38600</v>
      </c>
      <c r="AF45" s="7">
        <f t="shared" si="11"/>
        <v>965</v>
      </c>
      <c r="AG45" s="16">
        <v>39800</v>
      </c>
      <c r="AI45" s="16">
        <v>767</v>
      </c>
      <c r="AJ45" s="16">
        <v>850</v>
      </c>
      <c r="AK45" s="16">
        <v>994</v>
      </c>
      <c r="AL45" s="16">
        <v>1276</v>
      </c>
      <c r="AM45" s="16">
        <v>1319</v>
      </c>
      <c r="AP45" s="16">
        <v>17450</v>
      </c>
    </row>
    <row r="46" spans="1:43">
      <c r="B46" t="s">
        <v>776</v>
      </c>
      <c r="D46" s="16">
        <v>18000</v>
      </c>
      <c r="E46">
        <f t="shared" si="1"/>
        <v>18000</v>
      </c>
      <c r="F46" s="15">
        <f t="shared" si="12"/>
        <v>484</v>
      </c>
      <c r="G46" s="7">
        <f t="shared" si="2"/>
        <v>450</v>
      </c>
      <c r="I46" s="16">
        <v>20600</v>
      </c>
      <c r="J46">
        <f t="shared" si="0"/>
        <v>19300</v>
      </c>
      <c r="K46" s="15">
        <f t="shared" si="13"/>
        <v>548</v>
      </c>
      <c r="L46" s="7">
        <f t="shared" si="3"/>
        <v>482.5</v>
      </c>
      <c r="N46" s="16">
        <v>23150</v>
      </c>
      <c r="O46">
        <f t="shared" si="4"/>
        <v>23150</v>
      </c>
      <c r="P46" s="15">
        <f t="shared" si="14"/>
        <v>681</v>
      </c>
      <c r="Q46" s="7">
        <f t="shared" si="5"/>
        <v>578.75</v>
      </c>
      <c r="S46" s="16">
        <v>25700</v>
      </c>
      <c r="T46">
        <f t="shared" si="6"/>
        <v>26750</v>
      </c>
      <c r="U46" s="15">
        <f t="shared" si="15"/>
        <v>904</v>
      </c>
      <c r="V46" s="7">
        <f t="shared" si="7"/>
        <v>668.75</v>
      </c>
      <c r="X46" s="16">
        <v>27800</v>
      </c>
      <c r="Y46">
        <f t="shared" si="8"/>
        <v>29850</v>
      </c>
      <c r="Z46" s="15">
        <f t="shared" si="16"/>
        <v>932</v>
      </c>
      <c r="AA46" s="7">
        <f t="shared" si="9"/>
        <v>746.25</v>
      </c>
      <c r="AB46" s="16">
        <v>29850</v>
      </c>
      <c r="AC46" s="16">
        <v>31900</v>
      </c>
      <c r="AE46">
        <f t="shared" si="10"/>
        <v>32925</v>
      </c>
      <c r="AF46" s="7">
        <f t="shared" si="11"/>
        <v>823.125</v>
      </c>
      <c r="AG46" s="16">
        <v>33950</v>
      </c>
      <c r="AI46" s="16">
        <v>484</v>
      </c>
      <c r="AJ46" s="16">
        <v>548</v>
      </c>
      <c r="AK46" s="16">
        <v>681</v>
      </c>
      <c r="AL46" s="16">
        <v>904</v>
      </c>
      <c r="AM46" s="16">
        <v>932</v>
      </c>
      <c r="AP46" s="16">
        <v>16350</v>
      </c>
    </row>
    <row r="47" spans="1:43">
      <c r="B47" t="s">
        <v>777</v>
      </c>
      <c r="D47" s="16">
        <v>21150</v>
      </c>
      <c r="E47">
        <f t="shared" si="1"/>
        <v>21150</v>
      </c>
      <c r="F47" s="15">
        <f t="shared" si="12"/>
        <v>767</v>
      </c>
      <c r="G47" s="7">
        <f t="shared" si="2"/>
        <v>528.75</v>
      </c>
      <c r="I47" s="16">
        <v>24150</v>
      </c>
      <c r="J47">
        <f t="shared" si="0"/>
        <v>22650</v>
      </c>
      <c r="K47" s="15">
        <f t="shared" si="13"/>
        <v>850</v>
      </c>
      <c r="L47" s="7">
        <f t="shared" si="3"/>
        <v>566.25</v>
      </c>
      <c r="N47" s="16">
        <v>27150</v>
      </c>
      <c r="O47">
        <f t="shared" si="4"/>
        <v>27150</v>
      </c>
      <c r="P47" s="15">
        <f t="shared" si="14"/>
        <v>994</v>
      </c>
      <c r="Q47" s="7">
        <f t="shared" si="5"/>
        <v>678.75</v>
      </c>
      <c r="S47" s="16">
        <v>30150</v>
      </c>
      <c r="T47">
        <f t="shared" si="6"/>
        <v>31375</v>
      </c>
      <c r="U47" s="15">
        <f t="shared" si="15"/>
        <v>1276</v>
      </c>
      <c r="V47" s="7">
        <f t="shared" si="7"/>
        <v>784.375</v>
      </c>
      <c r="X47" s="16">
        <v>32600</v>
      </c>
      <c r="Y47">
        <f t="shared" si="8"/>
        <v>35000</v>
      </c>
      <c r="Z47" s="15">
        <f t="shared" si="16"/>
        <v>1319</v>
      </c>
      <c r="AA47" s="7">
        <f t="shared" si="9"/>
        <v>875</v>
      </c>
      <c r="AB47" s="16">
        <v>35000</v>
      </c>
      <c r="AC47" s="16">
        <v>37400</v>
      </c>
      <c r="AE47">
        <f t="shared" si="10"/>
        <v>38600</v>
      </c>
      <c r="AF47" s="7">
        <f t="shared" si="11"/>
        <v>965</v>
      </c>
      <c r="AG47" s="16">
        <v>39800</v>
      </c>
      <c r="AI47" s="16">
        <v>767</v>
      </c>
      <c r="AJ47" s="16">
        <v>850</v>
      </c>
      <c r="AK47" s="16">
        <v>994</v>
      </c>
      <c r="AL47" s="16">
        <v>1276</v>
      </c>
      <c r="AM47" s="16">
        <v>1319</v>
      </c>
      <c r="AP47" s="16">
        <v>17450</v>
      </c>
    </row>
    <row r="48" spans="1:43">
      <c r="B48" t="s">
        <v>778</v>
      </c>
      <c r="D48" s="16">
        <v>22650</v>
      </c>
      <c r="E48">
        <f t="shared" si="1"/>
        <v>22650</v>
      </c>
      <c r="F48" s="15">
        <f t="shared" si="12"/>
        <v>638</v>
      </c>
      <c r="G48" s="7">
        <f t="shared" si="2"/>
        <v>566.25</v>
      </c>
      <c r="I48" s="16">
        <v>25850</v>
      </c>
      <c r="J48">
        <f t="shared" si="0"/>
        <v>24250</v>
      </c>
      <c r="K48" s="15">
        <f t="shared" si="13"/>
        <v>694</v>
      </c>
      <c r="L48" s="7">
        <f t="shared" si="3"/>
        <v>606.25</v>
      </c>
      <c r="N48" s="16">
        <v>29100</v>
      </c>
      <c r="O48">
        <f t="shared" si="4"/>
        <v>29100</v>
      </c>
      <c r="P48" s="15">
        <f t="shared" si="14"/>
        <v>801</v>
      </c>
      <c r="Q48" s="7">
        <f t="shared" si="5"/>
        <v>727.5</v>
      </c>
      <c r="S48" s="16">
        <v>32300</v>
      </c>
      <c r="T48">
        <f t="shared" si="6"/>
        <v>33600</v>
      </c>
      <c r="U48" s="15">
        <f t="shared" si="15"/>
        <v>1021</v>
      </c>
      <c r="V48" s="7">
        <f t="shared" si="7"/>
        <v>840</v>
      </c>
      <c r="X48" s="16">
        <v>34900</v>
      </c>
      <c r="Y48">
        <f t="shared" si="8"/>
        <v>37500</v>
      </c>
      <c r="Z48" s="15">
        <f t="shared" si="16"/>
        <v>1123</v>
      </c>
      <c r="AA48" s="7">
        <f t="shared" si="9"/>
        <v>937.5</v>
      </c>
      <c r="AB48" s="16">
        <v>37500</v>
      </c>
      <c r="AC48" s="16">
        <v>40100</v>
      </c>
      <c r="AE48">
        <f t="shared" si="10"/>
        <v>41375</v>
      </c>
      <c r="AF48" s="7">
        <f t="shared" si="11"/>
        <v>1034.375</v>
      </c>
      <c r="AG48" s="16">
        <v>42650</v>
      </c>
      <c r="AI48" s="16">
        <v>638</v>
      </c>
      <c r="AJ48" s="16">
        <v>694</v>
      </c>
      <c r="AK48" s="16">
        <v>801</v>
      </c>
      <c r="AL48" s="16">
        <v>1021</v>
      </c>
      <c r="AM48" s="16">
        <v>1123</v>
      </c>
      <c r="AP48" s="16">
        <v>15950</v>
      </c>
    </row>
    <row r="49" spans="1:43">
      <c r="A49" s="11"/>
      <c r="B49" s="11" t="s">
        <v>779</v>
      </c>
      <c r="C49" s="11"/>
      <c r="D49" s="16">
        <v>18400</v>
      </c>
      <c r="E49" s="11">
        <f t="shared" si="1"/>
        <v>18400</v>
      </c>
      <c r="F49" s="15">
        <f t="shared" si="12"/>
        <v>493</v>
      </c>
      <c r="G49" s="12">
        <f t="shared" si="2"/>
        <v>460</v>
      </c>
      <c r="H49" s="11"/>
      <c r="I49" s="16">
        <v>21000</v>
      </c>
      <c r="J49" s="11">
        <f t="shared" si="0"/>
        <v>19700</v>
      </c>
      <c r="K49" s="15">
        <f t="shared" si="13"/>
        <v>533</v>
      </c>
      <c r="L49" s="12">
        <f t="shared" si="3"/>
        <v>492.5</v>
      </c>
      <c r="M49" s="11"/>
      <c r="N49" s="16">
        <v>23650</v>
      </c>
      <c r="O49" s="11">
        <f t="shared" si="4"/>
        <v>23650</v>
      </c>
      <c r="P49" s="15">
        <f t="shared" si="14"/>
        <v>635</v>
      </c>
      <c r="Q49" s="12">
        <f t="shared" si="5"/>
        <v>591.25</v>
      </c>
      <c r="R49" s="11"/>
      <c r="S49" s="16">
        <v>26250</v>
      </c>
      <c r="T49" s="11">
        <f t="shared" si="6"/>
        <v>27300</v>
      </c>
      <c r="U49" s="15">
        <f t="shared" si="15"/>
        <v>826</v>
      </c>
      <c r="V49" s="12">
        <f t="shared" si="7"/>
        <v>682.5</v>
      </c>
      <c r="W49" s="11"/>
      <c r="X49" s="16">
        <v>28350</v>
      </c>
      <c r="Y49" s="11">
        <f t="shared" si="8"/>
        <v>30450</v>
      </c>
      <c r="Z49" s="15">
        <f t="shared" si="16"/>
        <v>850</v>
      </c>
      <c r="AA49" s="12">
        <f t="shared" si="9"/>
        <v>761.25</v>
      </c>
      <c r="AB49" s="16">
        <v>30450</v>
      </c>
      <c r="AC49" s="16">
        <v>32550</v>
      </c>
      <c r="AD49" s="11"/>
      <c r="AE49" s="11">
        <f t="shared" si="10"/>
        <v>33600</v>
      </c>
      <c r="AF49" s="12">
        <f t="shared" si="11"/>
        <v>840</v>
      </c>
      <c r="AG49" s="16">
        <v>34650</v>
      </c>
      <c r="AH49" s="11"/>
      <c r="AI49" s="16">
        <v>493</v>
      </c>
      <c r="AJ49" s="16">
        <v>533</v>
      </c>
      <c r="AK49" s="16">
        <v>635</v>
      </c>
      <c r="AL49" s="16">
        <v>826</v>
      </c>
      <c r="AM49" s="16">
        <v>850</v>
      </c>
      <c r="AN49" s="11"/>
      <c r="AO49" s="11"/>
      <c r="AP49" s="16">
        <v>15250</v>
      </c>
      <c r="AQ49" s="11"/>
    </row>
    <row r="50" spans="1:43">
      <c r="B50" t="s">
        <v>780</v>
      </c>
      <c r="D50" s="16">
        <v>16800</v>
      </c>
      <c r="E50">
        <f t="shared" si="1"/>
        <v>16800</v>
      </c>
      <c r="F50" s="15">
        <f t="shared" si="12"/>
        <v>510</v>
      </c>
      <c r="G50" s="7">
        <f t="shared" si="2"/>
        <v>420</v>
      </c>
      <c r="I50" s="16">
        <v>19200</v>
      </c>
      <c r="J50">
        <f t="shared" si="0"/>
        <v>18000</v>
      </c>
      <c r="K50" s="15">
        <f t="shared" si="13"/>
        <v>519</v>
      </c>
      <c r="L50" s="7">
        <f t="shared" si="3"/>
        <v>450</v>
      </c>
      <c r="N50" s="16">
        <v>21600</v>
      </c>
      <c r="O50">
        <f t="shared" si="4"/>
        <v>21600</v>
      </c>
      <c r="P50" s="15">
        <f t="shared" si="14"/>
        <v>614</v>
      </c>
      <c r="Q50" s="7">
        <f t="shared" si="5"/>
        <v>540</v>
      </c>
      <c r="S50" s="16">
        <v>24000</v>
      </c>
      <c r="T50">
        <f t="shared" si="6"/>
        <v>24975</v>
      </c>
      <c r="U50" s="15">
        <f t="shared" si="15"/>
        <v>734</v>
      </c>
      <c r="V50" s="7">
        <f t="shared" si="7"/>
        <v>624.375</v>
      </c>
      <c r="X50" s="16">
        <v>25950</v>
      </c>
      <c r="Y50">
        <f t="shared" si="8"/>
        <v>27850</v>
      </c>
      <c r="Z50" s="15">
        <f t="shared" si="16"/>
        <v>803</v>
      </c>
      <c r="AA50" s="7">
        <f t="shared" si="9"/>
        <v>696.25</v>
      </c>
      <c r="AB50" s="16">
        <v>27850</v>
      </c>
      <c r="AC50" s="16">
        <v>29800</v>
      </c>
      <c r="AE50">
        <f t="shared" si="10"/>
        <v>30750</v>
      </c>
      <c r="AF50" s="7">
        <f t="shared" si="11"/>
        <v>768.75</v>
      </c>
      <c r="AG50" s="16">
        <v>31700</v>
      </c>
      <c r="AI50" s="16">
        <v>510</v>
      </c>
      <c r="AJ50" s="16">
        <v>519</v>
      </c>
      <c r="AK50" s="16">
        <v>614</v>
      </c>
      <c r="AL50" s="16">
        <v>734</v>
      </c>
      <c r="AM50" s="16">
        <v>803</v>
      </c>
      <c r="AP50" s="16">
        <v>13800</v>
      </c>
    </row>
    <row r="51" spans="1:43">
      <c r="B51" t="s">
        <v>781</v>
      </c>
      <c r="D51" s="16">
        <v>16800</v>
      </c>
      <c r="E51">
        <f t="shared" si="1"/>
        <v>16800</v>
      </c>
      <c r="F51" s="15">
        <f t="shared" si="12"/>
        <v>437</v>
      </c>
      <c r="G51" s="7">
        <f t="shared" si="2"/>
        <v>420</v>
      </c>
      <c r="I51" s="16">
        <v>19200</v>
      </c>
      <c r="J51">
        <f t="shared" si="0"/>
        <v>18000</v>
      </c>
      <c r="K51" s="15">
        <f t="shared" si="13"/>
        <v>467</v>
      </c>
      <c r="L51" s="7">
        <f t="shared" si="3"/>
        <v>450</v>
      </c>
      <c r="N51" s="16">
        <v>21600</v>
      </c>
      <c r="O51">
        <f t="shared" si="4"/>
        <v>21600</v>
      </c>
      <c r="P51" s="15">
        <f t="shared" si="14"/>
        <v>554</v>
      </c>
      <c r="Q51" s="7">
        <f t="shared" si="5"/>
        <v>540</v>
      </c>
      <c r="S51" s="16">
        <v>24000</v>
      </c>
      <c r="T51">
        <f t="shared" si="6"/>
        <v>24975</v>
      </c>
      <c r="U51" s="15">
        <f t="shared" si="15"/>
        <v>701</v>
      </c>
      <c r="V51" s="7">
        <f t="shared" si="7"/>
        <v>624.375</v>
      </c>
      <c r="X51" s="16">
        <v>25950</v>
      </c>
      <c r="Y51">
        <f t="shared" si="8"/>
        <v>27850</v>
      </c>
      <c r="Z51" s="15">
        <f t="shared" si="16"/>
        <v>782</v>
      </c>
      <c r="AA51" s="7">
        <f t="shared" si="9"/>
        <v>696.25</v>
      </c>
      <c r="AB51" s="16">
        <v>27850</v>
      </c>
      <c r="AC51" s="16">
        <v>29800</v>
      </c>
      <c r="AE51">
        <f t="shared" si="10"/>
        <v>30750</v>
      </c>
      <c r="AF51" s="7">
        <f t="shared" si="11"/>
        <v>768.75</v>
      </c>
      <c r="AG51" s="16">
        <v>31700</v>
      </c>
      <c r="AI51" s="16">
        <v>437</v>
      </c>
      <c r="AJ51" s="16">
        <v>467</v>
      </c>
      <c r="AK51" s="16">
        <v>554</v>
      </c>
      <c r="AL51" s="16">
        <v>701</v>
      </c>
      <c r="AM51" s="16">
        <v>782</v>
      </c>
      <c r="AP51" s="16">
        <v>13800</v>
      </c>
    </row>
    <row r="52" spans="1:43">
      <c r="B52" t="s">
        <v>782</v>
      </c>
      <c r="D52" s="16">
        <v>17100</v>
      </c>
      <c r="E52">
        <f t="shared" si="1"/>
        <v>17100</v>
      </c>
      <c r="F52" s="15">
        <f t="shared" si="12"/>
        <v>510</v>
      </c>
      <c r="G52" s="7">
        <f t="shared" si="2"/>
        <v>427.5</v>
      </c>
      <c r="I52" s="16">
        <v>19550</v>
      </c>
      <c r="J52">
        <f t="shared" si="0"/>
        <v>18325</v>
      </c>
      <c r="K52" s="15">
        <f t="shared" si="13"/>
        <v>519</v>
      </c>
      <c r="L52" s="7">
        <f t="shared" si="3"/>
        <v>458.125</v>
      </c>
      <c r="N52" s="16">
        <v>22000</v>
      </c>
      <c r="O52">
        <f t="shared" si="4"/>
        <v>22000</v>
      </c>
      <c r="P52" s="15">
        <f t="shared" si="14"/>
        <v>614</v>
      </c>
      <c r="Q52" s="7">
        <f t="shared" si="5"/>
        <v>550</v>
      </c>
      <c r="S52" s="16">
        <v>24400</v>
      </c>
      <c r="T52">
        <f t="shared" si="6"/>
        <v>25400</v>
      </c>
      <c r="U52" s="15">
        <f t="shared" si="15"/>
        <v>734</v>
      </c>
      <c r="V52" s="7">
        <f t="shared" si="7"/>
        <v>635</v>
      </c>
      <c r="X52" s="16">
        <v>26400</v>
      </c>
      <c r="Y52">
        <f t="shared" si="8"/>
        <v>28350</v>
      </c>
      <c r="Z52" s="15">
        <f t="shared" si="16"/>
        <v>803</v>
      </c>
      <c r="AA52" s="7">
        <f t="shared" si="9"/>
        <v>708.75</v>
      </c>
      <c r="AB52" s="16">
        <v>28350</v>
      </c>
      <c r="AC52" s="16">
        <v>30300</v>
      </c>
      <c r="AE52">
        <f t="shared" si="10"/>
        <v>31275</v>
      </c>
      <c r="AF52" s="7">
        <f t="shared" si="11"/>
        <v>781.875</v>
      </c>
      <c r="AG52" s="16">
        <v>32250</v>
      </c>
      <c r="AI52" s="16">
        <v>510</v>
      </c>
      <c r="AJ52" s="16">
        <v>519</v>
      </c>
      <c r="AK52" s="16">
        <v>614</v>
      </c>
      <c r="AL52" s="16">
        <v>734</v>
      </c>
      <c r="AM52" s="16">
        <v>803</v>
      </c>
      <c r="AP52" s="16">
        <v>13800</v>
      </c>
    </row>
    <row r="53" spans="1:43">
      <c r="B53" t="s">
        <v>783</v>
      </c>
      <c r="D53" s="16">
        <v>21150</v>
      </c>
      <c r="E53">
        <f t="shared" si="1"/>
        <v>21150</v>
      </c>
      <c r="F53" s="15">
        <f t="shared" si="12"/>
        <v>767</v>
      </c>
      <c r="G53" s="7">
        <f t="shared" si="2"/>
        <v>528.75</v>
      </c>
      <c r="I53" s="16">
        <v>24150</v>
      </c>
      <c r="J53">
        <f t="shared" si="0"/>
        <v>22650</v>
      </c>
      <c r="K53" s="15">
        <f t="shared" si="13"/>
        <v>850</v>
      </c>
      <c r="L53" s="7">
        <f t="shared" si="3"/>
        <v>566.25</v>
      </c>
      <c r="N53" s="16">
        <v>27150</v>
      </c>
      <c r="O53">
        <f t="shared" si="4"/>
        <v>27150</v>
      </c>
      <c r="P53" s="15">
        <f t="shared" si="14"/>
        <v>994</v>
      </c>
      <c r="Q53" s="7">
        <f t="shared" si="5"/>
        <v>678.75</v>
      </c>
      <c r="S53" s="16">
        <v>30150</v>
      </c>
      <c r="T53">
        <f t="shared" si="6"/>
        <v>31375</v>
      </c>
      <c r="U53" s="15">
        <f t="shared" si="15"/>
        <v>1276</v>
      </c>
      <c r="V53" s="7">
        <f t="shared" si="7"/>
        <v>784.375</v>
      </c>
      <c r="X53" s="16">
        <v>32600</v>
      </c>
      <c r="Y53">
        <f t="shared" si="8"/>
        <v>35000</v>
      </c>
      <c r="Z53" s="15">
        <f t="shared" si="16"/>
        <v>1319</v>
      </c>
      <c r="AA53" s="7">
        <f t="shared" si="9"/>
        <v>875</v>
      </c>
      <c r="AB53" s="16">
        <v>35000</v>
      </c>
      <c r="AC53" s="16">
        <v>37400</v>
      </c>
      <c r="AE53">
        <f t="shared" si="10"/>
        <v>38600</v>
      </c>
      <c r="AF53" s="7">
        <f t="shared" si="11"/>
        <v>965</v>
      </c>
      <c r="AG53" s="16">
        <v>39800</v>
      </c>
      <c r="AI53" s="16">
        <v>767</v>
      </c>
      <c r="AJ53" s="16">
        <v>850</v>
      </c>
      <c r="AK53" s="16">
        <v>994</v>
      </c>
      <c r="AL53" s="16">
        <v>1276</v>
      </c>
      <c r="AM53" s="16">
        <v>1319</v>
      </c>
      <c r="AP53" s="16">
        <v>17450</v>
      </c>
    </row>
    <row r="54" spans="1:43">
      <c r="A54" s="11"/>
      <c r="B54" s="11" t="s">
        <v>784</v>
      </c>
      <c r="C54" s="11"/>
      <c r="D54" s="16">
        <v>21150</v>
      </c>
      <c r="E54" s="11">
        <f t="shared" si="1"/>
        <v>21150</v>
      </c>
      <c r="F54" s="15">
        <f t="shared" si="12"/>
        <v>767</v>
      </c>
      <c r="G54" s="12">
        <f t="shared" si="2"/>
        <v>528.75</v>
      </c>
      <c r="H54" s="11"/>
      <c r="I54" s="16">
        <v>24150</v>
      </c>
      <c r="J54" s="11">
        <f t="shared" si="0"/>
        <v>22650</v>
      </c>
      <c r="K54" s="15">
        <f t="shared" si="13"/>
        <v>850</v>
      </c>
      <c r="L54" s="12">
        <f t="shared" si="3"/>
        <v>566.25</v>
      </c>
      <c r="M54" s="11"/>
      <c r="N54" s="16">
        <v>27150</v>
      </c>
      <c r="O54" s="11">
        <f t="shared" si="4"/>
        <v>27150</v>
      </c>
      <c r="P54" s="15">
        <f t="shared" si="14"/>
        <v>994</v>
      </c>
      <c r="Q54" s="12">
        <f t="shared" si="5"/>
        <v>678.75</v>
      </c>
      <c r="R54" s="11"/>
      <c r="S54" s="16">
        <v>30150</v>
      </c>
      <c r="T54" s="11">
        <f t="shared" si="6"/>
        <v>31375</v>
      </c>
      <c r="U54" s="15">
        <f t="shared" si="15"/>
        <v>1276</v>
      </c>
      <c r="V54" s="12">
        <f t="shared" si="7"/>
        <v>784.375</v>
      </c>
      <c r="W54" s="11"/>
      <c r="X54" s="16">
        <v>32600</v>
      </c>
      <c r="Y54" s="11">
        <f t="shared" si="8"/>
        <v>35000</v>
      </c>
      <c r="Z54" s="15">
        <f t="shared" si="16"/>
        <v>1319</v>
      </c>
      <c r="AA54" s="12">
        <f t="shared" si="9"/>
        <v>875</v>
      </c>
      <c r="AB54" s="16">
        <v>35000</v>
      </c>
      <c r="AC54" s="16">
        <v>37400</v>
      </c>
      <c r="AD54" s="11"/>
      <c r="AE54" s="11">
        <f t="shared" si="10"/>
        <v>38600</v>
      </c>
      <c r="AF54" s="12">
        <f t="shared" si="11"/>
        <v>965</v>
      </c>
      <c r="AG54" s="16">
        <v>39800</v>
      </c>
      <c r="AH54" s="11"/>
      <c r="AI54" s="16">
        <v>767</v>
      </c>
      <c r="AJ54" s="16">
        <v>850</v>
      </c>
      <c r="AK54" s="16">
        <v>994</v>
      </c>
      <c r="AL54" s="16">
        <v>1276</v>
      </c>
      <c r="AM54" s="16">
        <v>1319</v>
      </c>
      <c r="AN54" s="11"/>
      <c r="AO54" s="11"/>
      <c r="AP54" s="16">
        <v>17450</v>
      </c>
      <c r="AQ54" s="11"/>
    </row>
    <row r="55" spans="1:43">
      <c r="B55" t="s">
        <v>785</v>
      </c>
      <c r="D55" s="16">
        <v>22650</v>
      </c>
      <c r="E55">
        <f t="shared" si="1"/>
        <v>22650</v>
      </c>
      <c r="F55" s="15">
        <f t="shared" si="12"/>
        <v>638</v>
      </c>
      <c r="G55" s="7">
        <f t="shared" si="2"/>
        <v>566.25</v>
      </c>
      <c r="I55" s="16">
        <v>25850</v>
      </c>
      <c r="J55">
        <f t="shared" si="0"/>
        <v>24250</v>
      </c>
      <c r="K55" s="15">
        <f t="shared" si="13"/>
        <v>694</v>
      </c>
      <c r="L55" s="7">
        <f t="shared" si="3"/>
        <v>606.25</v>
      </c>
      <c r="N55" s="16">
        <v>29100</v>
      </c>
      <c r="O55">
        <f t="shared" si="4"/>
        <v>29100</v>
      </c>
      <c r="P55" s="15">
        <f t="shared" si="14"/>
        <v>801</v>
      </c>
      <c r="Q55" s="7">
        <f t="shared" si="5"/>
        <v>727.5</v>
      </c>
      <c r="S55" s="16">
        <v>32300</v>
      </c>
      <c r="T55">
        <f t="shared" si="6"/>
        <v>33600</v>
      </c>
      <c r="U55" s="15">
        <f t="shared" si="15"/>
        <v>1021</v>
      </c>
      <c r="V55" s="7">
        <f t="shared" si="7"/>
        <v>840</v>
      </c>
      <c r="X55" s="16">
        <v>34900</v>
      </c>
      <c r="Y55">
        <f t="shared" si="8"/>
        <v>37500</v>
      </c>
      <c r="Z55" s="15">
        <f t="shared" si="16"/>
        <v>1123</v>
      </c>
      <c r="AA55" s="7">
        <f t="shared" si="9"/>
        <v>937.5</v>
      </c>
      <c r="AB55" s="16">
        <v>37500</v>
      </c>
      <c r="AC55" s="16">
        <v>40100</v>
      </c>
      <c r="AE55">
        <f t="shared" si="10"/>
        <v>41375</v>
      </c>
      <c r="AF55" s="7">
        <f t="shared" si="11"/>
        <v>1034.375</v>
      </c>
      <c r="AG55" s="16">
        <v>42650</v>
      </c>
      <c r="AI55" s="16">
        <v>638</v>
      </c>
      <c r="AJ55" s="16">
        <v>694</v>
      </c>
      <c r="AK55" s="16">
        <v>801</v>
      </c>
      <c r="AL55" s="16">
        <v>1021</v>
      </c>
      <c r="AM55" s="16">
        <v>1123</v>
      </c>
      <c r="AP55" s="16">
        <v>13800</v>
      </c>
    </row>
    <row r="56" spans="1:43">
      <c r="B56" t="s">
        <v>786</v>
      </c>
      <c r="D56" s="16">
        <v>22100</v>
      </c>
      <c r="E56">
        <f t="shared" si="1"/>
        <v>22100</v>
      </c>
      <c r="F56" s="15">
        <f t="shared" si="12"/>
        <v>531</v>
      </c>
      <c r="G56" s="7">
        <f t="shared" si="2"/>
        <v>552.5</v>
      </c>
      <c r="I56" s="16">
        <v>25250</v>
      </c>
      <c r="J56">
        <f t="shared" si="0"/>
        <v>23675</v>
      </c>
      <c r="K56" s="15">
        <f t="shared" si="13"/>
        <v>620</v>
      </c>
      <c r="L56" s="7">
        <f t="shared" si="3"/>
        <v>591.875</v>
      </c>
      <c r="N56" s="16">
        <v>28400</v>
      </c>
      <c r="O56">
        <f t="shared" si="4"/>
        <v>28400</v>
      </c>
      <c r="P56" s="15">
        <f t="shared" si="14"/>
        <v>760</v>
      </c>
      <c r="Q56" s="7">
        <f t="shared" si="5"/>
        <v>710</v>
      </c>
      <c r="S56" s="16">
        <v>31550</v>
      </c>
      <c r="T56">
        <f t="shared" si="6"/>
        <v>32825</v>
      </c>
      <c r="U56" s="15">
        <f t="shared" si="15"/>
        <v>933</v>
      </c>
      <c r="V56" s="7">
        <f t="shared" si="7"/>
        <v>820.625</v>
      </c>
      <c r="X56" s="16">
        <v>34100</v>
      </c>
      <c r="Y56">
        <f t="shared" si="8"/>
        <v>36600</v>
      </c>
      <c r="Z56" s="15">
        <f t="shared" si="16"/>
        <v>961</v>
      </c>
      <c r="AA56" s="7">
        <f t="shared" si="9"/>
        <v>915</v>
      </c>
      <c r="AB56" s="16">
        <v>36600</v>
      </c>
      <c r="AC56" s="16">
        <v>39150</v>
      </c>
      <c r="AE56">
        <f t="shared" si="10"/>
        <v>40400</v>
      </c>
      <c r="AF56" s="7">
        <f t="shared" si="11"/>
        <v>1010</v>
      </c>
      <c r="AG56" s="16">
        <v>41650</v>
      </c>
      <c r="AI56" s="16">
        <v>531</v>
      </c>
      <c r="AJ56" s="16">
        <v>620</v>
      </c>
      <c r="AK56" s="16">
        <v>760</v>
      </c>
      <c r="AL56" s="16">
        <v>933</v>
      </c>
      <c r="AM56" s="16">
        <v>961</v>
      </c>
      <c r="AP56" s="16">
        <v>16650</v>
      </c>
    </row>
    <row r="57" spans="1:43">
      <c r="B57" t="s">
        <v>787</v>
      </c>
      <c r="D57" s="16">
        <v>21150</v>
      </c>
      <c r="E57">
        <f t="shared" si="1"/>
        <v>21150</v>
      </c>
      <c r="F57" s="15">
        <f t="shared" si="12"/>
        <v>767</v>
      </c>
      <c r="G57" s="7">
        <f t="shared" si="2"/>
        <v>528.75</v>
      </c>
      <c r="I57" s="16">
        <v>24150</v>
      </c>
      <c r="J57">
        <f t="shared" si="0"/>
        <v>22650</v>
      </c>
      <c r="K57" s="15">
        <f t="shared" si="13"/>
        <v>850</v>
      </c>
      <c r="L57" s="7">
        <f t="shared" si="3"/>
        <v>566.25</v>
      </c>
      <c r="N57" s="16">
        <v>27150</v>
      </c>
      <c r="O57">
        <f t="shared" si="4"/>
        <v>27150</v>
      </c>
      <c r="P57" s="15">
        <f t="shared" si="14"/>
        <v>994</v>
      </c>
      <c r="Q57" s="7">
        <f t="shared" si="5"/>
        <v>678.75</v>
      </c>
      <c r="S57" s="16">
        <v>30150</v>
      </c>
      <c r="T57">
        <f t="shared" si="6"/>
        <v>31375</v>
      </c>
      <c r="U57" s="15">
        <f t="shared" si="15"/>
        <v>1276</v>
      </c>
      <c r="V57" s="7">
        <f t="shared" si="7"/>
        <v>784.375</v>
      </c>
      <c r="X57" s="16">
        <v>32600</v>
      </c>
      <c r="Y57">
        <f t="shared" si="8"/>
        <v>35000</v>
      </c>
      <c r="Z57" s="15">
        <f t="shared" si="16"/>
        <v>1319</v>
      </c>
      <c r="AA57" s="7">
        <f t="shared" si="9"/>
        <v>875</v>
      </c>
      <c r="AB57" s="16">
        <v>35000</v>
      </c>
      <c r="AC57" s="16">
        <v>37400</v>
      </c>
      <c r="AE57">
        <f t="shared" si="10"/>
        <v>38600</v>
      </c>
      <c r="AF57" s="7">
        <f t="shared" si="11"/>
        <v>965</v>
      </c>
      <c r="AG57" s="16">
        <v>39800</v>
      </c>
      <c r="AI57" s="16">
        <v>767</v>
      </c>
      <c r="AJ57" s="16">
        <v>850</v>
      </c>
      <c r="AK57" s="16">
        <v>994</v>
      </c>
      <c r="AL57" s="16">
        <v>1276</v>
      </c>
      <c r="AM57" s="16">
        <v>1319</v>
      </c>
      <c r="AP57" s="16">
        <v>17450</v>
      </c>
    </row>
    <row r="58" spans="1:43">
      <c r="B58" t="s">
        <v>788</v>
      </c>
      <c r="D58" s="16">
        <v>16800</v>
      </c>
      <c r="E58">
        <f t="shared" si="1"/>
        <v>16800</v>
      </c>
      <c r="F58" s="15">
        <f t="shared" si="12"/>
        <v>362</v>
      </c>
      <c r="G58" s="7">
        <f t="shared" si="2"/>
        <v>420</v>
      </c>
      <c r="I58" s="16">
        <v>19200</v>
      </c>
      <c r="J58">
        <f t="shared" si="0"/>
        <v>18000</v>
      </c>
      <c r="K58" s="15">
        <f t="shared" si="13"/>
        <v>434</v>
      </c>
      <c r="L58" s="7">
        <f t="shared" si="3"/>
        <v>450</v>
      </c>
      <c r="N58" s="16">
        <v>21600</v>
      </c>
      <c r="O58">
        <f t="shared" si="4"/>
        <v>21600</v>
      </c>
      <c r="P58" s="15">
        <f t="shared" si="14"/>
        <v>554</v>
      </c>
      <c r="Q58" s="7">
        <f t="shared" si="5"/>
        <v>540</v>
      </c>
      <c r="S58" s="16">
        <v>24000</v>
      </c>
      <c r="T58">
        <f t="shared" si="6"/>
        <v>24975</v>
      </c>
      <c r="U58" s="15">
        <f t="shared" si="15"/>
        <v>748</v>
      </c>
      <c r="V58" s="7">
        <f t="shared" si="7"/>
        <v>624.375</v>
      </c>
      <c r="X58" s="16">
        <v>25950</v>
      </c>
      <c r="Y58">
        <f t="shared" si="8"/>
        <v>27850</v>
      </c>
      <c r="Z58" s="15">
        <f t="shared" si="16"/>
        <v>796</v>
      </c>
      <c r="AA58" s="7">
        <f t="shared" si="9"/>
        <v>696.25</v>
      </c>
      <c r="AB58" s="16">
        <v>27850</v>
      </c>
      <c r="AC58" s="16">
        <v>29800</v>
      </c>
      <c r="AE58">
        <f t="shared" si="10"/>
        <v>30750</v>
      </c>
      <c r="AF58" s="7">
        <f t="shared" si="11"/>
        <v>768.75</v>
      </c>
      <c r="AG58" s="16">
        <v>31700</v>
      </c>
      <c r="AI58" s="16">
        <v>362</v>
      </c>
      <c r="AJ58" s="16">
        <v>434</v>
      </c>
      <c r="AK58" s="16">
        <v>554</v>
      </c>
      <c r="AL58" s="16">
        <v>748</v>
      </c>
      <c r="AM58" s="16">
        <v>796</v>
      </c>
      <c r="AN58" s="9"/>
      <c r="AP58" s="16">
        <v>15950</v>
      </c>
    </row>
    <row r="59" spans="1:43">
      <c r="A59" s="11"/>
      <c r="B59" s="11" t="s">
        <v>789</v>
      </c>
      <c r="C59" s="11"/>
      <c r="D59" s="16">
        <v>21750</v>
      </c>
      <c r="E59" s="11">
        <f t="shared" si="1"/>
        <v>21750</v>
      </c>
      <c r="F59" s="15">
        <f t="shared" si="12"/>
        <v>570</v>
      </c>
      <c r="G59" s="12">
        <f t="shared" si="2"/>
        <v>543.75</v>
      </c>
      <c r="H59" s="11"/>
      <c r="I59" s="16">
        <v>24850</v>
      </c>
      <c r="J59" s="11">
        <f t="shared" si="0"/>
        <v>23300</v>
      </c>
      <c r="K59" s="15">
        <f t="shared" si="13"/>
        <v>654</v>
      </c>
      <c r="L59" s="12">
        <f t="shared" si="3"/>
        <v>582.5</v>
      </c>
      <c r="M59" s="11"/>
      <c r="N59" s="16">
        <v>27950</v>
      </c>
      <c r="O59" s="11">
        <f t="shared" si="4"/>
        <v>27950</v>
      </c>
      <c r="P59" s="15">
        <f t="shared" si="14"/>
        <v>725</v>
      </c>
      <c r="Q59" s="12">
        <f t="shared" si="5"/>
        <v>698.75</v>
      </c>
      <c r="R59" s="11"/>
      <c r="S59" s="16">
        <v>31050</v>
      </c>
      <c r="T59" s="11">
        <f t="shared" si="6"/>
        <v>32300</v>
      </c>
      <c r="U59" s="15">
        <f t="shared" si="15"/>
        <v>930</v>
      </c>
      <c r="V59" s="12">
        <f t="shared" si="7"/>
        <v>807.5</v>
      </c>
      <c r="W59" s="11"/>
      <c r="X59" s="16">
        <v>33550</v>
      </c>
      <c r="Y59" s="11">
        <f t="shared" si="8"/>
        <v>36050</v>
      </c>
      <c r="Z59" s="15">
        <f t="shared" si="16"/>
        <v>1180</v>
      </c>
      <c r="AA59" s="12">
        <f t="shared" si="9"/>
        <v>901.25</v>
      </c>
      <c r="AB59" s="16">
        <v>36050</v>
      </c>
      <c r="AC59" s="16">
        <v>38550</v>
      </c>
      <c r="AD59" s="11"/>
      <c r="AE59" s="11">
        <f t="shared" si="10"/>
        <v>39775</v>
      </c>
      <c r="AF59" s="12">
        <f t="shared" si="11"/>
        <v>994.375</v>
      </c>
      <c r="AG59" s="16">
        <v>41000</v>
      </c>
      <c r="AH59" s="11"/>
      <c r="AI59" s="16">
        <v>570</v>
      </c>
      <c r="AJ59" s="16">
        <v>654</v>
      </c>
      <c r="AK59" s="16">
        <v>725</v>
      </c>
      <c r="AL59" s="16">
        <v>930</v>
      </c>
      <c r="AM59" s="16">
        <v>1180</v>
      </c>
      <c r="AN59" s="11"/>
      <c r="AO59" s="11"/>
      <c r="AP59" s="16">
        <v>15950</v>
      </c>
      <c r="AQ59" s="11"/>
    </row>
    <row r="60" spans="1:43">
      <c r="B60" t="s">
        <v>790</v>
      </c>
      <c r="D60" s="16">
        <v>17300</v>
      </c>
      <c r="E60">
        <f t="shared" si="1"/>
        <v>17300</v>
      </c>
      <c r="F60" s="15">
        <f t="shared" si="12"/>
        <v>504</v>
      </c>
      <c r="G60" s="7">
        <f t="shared" si="2"/>
        <v>432.5</v>
      </c>
      <c r="I60" s="16">
        <v>19750</v>
      </c>
      <c r="J60">
        <f t="shared" si="0"/>
        <v>18525</v>
      </c>
      <c r="K60" s="15">
        <f t="shared" si="13"/>
        <v>513</v>
      </c>
      <c r="L60" s="7">
        <f t="shared" si="3"/>
        <v>463.125</v>
      </c>
      <c r="N60" s="16">
        <v>22200</v>
      </c>
      <c r="O60">
        <f t="shared" si="4"/>
        <v>22200</v>
      </c>
      <c r="P60" s="15">
        <f t="shared" si="14"/>
        <v>617</v>
      </c>
      <c r="Q60" s="7">
        <f t="shared" si="5"/>
        <v>555</v>
      </c>
      <c r="S60" s="16">
        <v>24650</v>
      </c>
      <c r="T60">
        <f t="shared" si="6"/>
        <v>25650</v>
      </c>
      <c r="U60" s="15">
        <f t="shared" si="15"/>
        <v>806</v>
      </c>
      <c r="V60" s="7">
        <f t="shared" si="7"/>
        <v>641.25</v>
      </c>
      <c r="X60" s="16">
        <v>26650</v>
      </c>
      <c r="Y60">
        <f t="shared" si="8"/>
        <v>28600</v>
      </c>
      <c r="Z60" s="15">
        <f t="shared" si="16"/>
        <v>832</v>
      </c>
      <c r="AA60" s="7">
        <f t="shared" si="9"/>
        <v>715</v>
      </c>
      <c r="AB60" s="16">
        <v>28600</v>
      </c>
      <c r="AC60" s="16">
        <v>30600</v>
      </c>
      <c r="AE60">
        <f t="shared" si="10"/>
        <v>31575</v>
      </c>
      <c r="AF60" s="7">
        <f t="shared" si="11"/>
        <v>789.375</v>
      </c>
      <c r="AG60" s="16">
        <v>32550</v>
      </c>
      <c r="AI60" s="16">
        <v>504</v>
      </c>
      <c r="AJ60" s="16">
        <v>513</v>
      </c>
      <c r="AK60" s="16">
        <v>617</v>
      </c>
      <c r="AL60" s="16">
        <v>806</v>
      </c>
      <c r="AM60" s="16">
        <v>832</v>
      </c>
      <c r="AP60" s="16">
        <v>13800</v>
      </c>
    </row>
    <row r="61" spans="1:43">
      <c r="B61" t="s">
        <v>791</v>
      </c>
      <c r="D61" s="16">
        <v>21150</v>
      </c>
      <c r="E61">
        <f t="shared" si="1"/>
        <v>21150</v>
      </c>
      <c r="F61" s="15">
        <f t="shared" si="12"/>
        <v>767</v>
      </c>
      <c r="G61" s="7">
        <f t="shared" si="2"/>
        <v>528.75</v>
      </c>
      <c r="I61" s="16">
        <v>24150</v>
      </c>
      <c r="J61">
        <f t="shared" si="0"/>
        <v>22650</v>
      </c>
      <c r="K61" s="15">
        <f t="shared" si="13"/>
        <v>850</v>
      </c>
      <c r="L61" s="7">
        <f t="shared" si="3"/>
        <v>566.25</v>
      </c>
      <c r="N61" s="16">
        <v>27150</v>
      </c>
      <c r="O61">
        <f t="shared" si="4"/>
        <v>27150</v>
      </c>
      <c r="P61" s="15">
        <f t="shared" si="14"/>
        <v>994</v>
      </c>
      <c r="Q61" s="7">
        <f t="shared" si="5"/>
        <v>678.75</v>
      </c>
      <c r="S61" s="16">
        <v>30150</v>
      </c>
      <c r="T61">
        <f t="shared" si="6"/>
        <v>31375</v>
      </c>
      <c r="U61" s="15">
        <f t="shared" si="15"/>
        <v>1276</v>
      </c>
      <c r="V61" s="7">
        <f t="shared" si="7"/>
        <v>784.375</v>
      </c>
      <c r="X61" s="16">
        <v>32600</v>
      </c>
      <c r="Y61">
        <f t="shared" si="8"/>
        <v>35000</v>
      </c>
      <c r="Z61" s="15">
        <f t="shared" si="16"/>
        <v>1319</v>
      </c>
      <c r="AA61" s="7">
        <f t="shared" si="9"/>
        <v>875</v>
      </c>
      <c r="AB61" s="16">
        <v>35000</v>
      </c>
      <c r="AC61" s="16">
        <v>37400</v>
      </c>
      <c r="AE61">
        <f t="shared" si="10"/>
        <v>38600</v>
      </c>
      <c r="AF61" s="7">
        <f t="shared" si="11"/>
        <v>965</v>
      </c>
      <c r="AG61" s="16">
        <v>39800</v>
      </c>
      <c r="AI61" s="16">
        <v>767</v>
      </c>
      <c r="AJ61" s="16">
        <v>850</v>
      </c>
      <c r="AK61" s="16">
        <v>994</v>
      </c>
      <c r="AL61" s="16">
        <v>1276</v>
      </c>
      <c r="AM61" s="16">
        <v>1319</v>
      </c>
      <c r="AP61" s="16">
        <v>17450</v>
      </c>
    </row>
    <row r="62" spans="1:43">
      <c r="B62" t="s">
        <v>792</v>
      </c>
      <c r="D62" s="16">
        <v>18800</v>
      </c>
      <c r="E62">
        <f t="shared" si="1"/>
        <v>18800</v>
      </c>
      <c r="F62" s="15">
        <f t="shared" si="12"/>
        <v>481</v>
      </c>
      <c r="G62" s="7">
        <f t="shared" si="2"/>
        <v>470</v>
      </c>
      <c r="I62" s="16">
        <v>21450</v>
      </c>
      <c r="J62">
        <f t="shared" si="0"/>
        <v>20125</v>
      </c>
      <c r="K62" s="15">
        <f t="shared" si="13"/>
        <v>559</v>
      </c>
      <c r="L62" s="7">
        <f t="shared" si="3"/>
        <v>503.125</v>
      </c>
      <c r="N62" s="16">
        <v>24150</v>
      </c>
      <c r="O62">
        <f t="shared" si="4"/>
        <v>24150</v>
      </c>
      <c r="P62" s="15">
        <f t="shared" si="14"/>
        <v>703</v>
      </c>
      <c r="Q62" s="7">
        <f t="shared" si="5"/>
        <v>603.75</v>
      </c>
      <c r="S62" s="16">
        <v>26800</v>
      </c>
      <c r="T62">
        <f t="shared" si="6"/>
        <v>27875</v>
      </c>
      <c r="U62" s="15">
        <f t="shared" si="15"/>
        <v>842</v>
      </c>
      <c r="V62" s="7">
        <f t="shared" si="7"/>
        <v>696.875</v>
      </c>
      <c r="X62" s="16">
        <v>28950</v>
      </c>
      <c r="Y62">
        <f t="shared" si="8"/>
        <v>31100</v>
      </c>
      <c r="Z62" s="15">
        <f t="shared" si="16"/>
        <v>1000</v>
      </c>
      <c r="AA62" s="7">
        <f t="shared" si="9"/>
        <v>777.5</v>
      </c>
      <c r="AB62" s="16">
        <v>31100</v>
      </c>
      <c r="AC62" s="16">
        <v>33250</v>
      </c>
      <c r="AE62">
        <f t="shared" si="10"/>
        <v>34325</v>
      </c>
      <c r="AF62" s="7">
        <f t="shared" si="11"/>
        <v>858.125</v>
      </c>
      <c r="AG62" s="16">
        <v>35400</v>
      </c>
      <c r="AI62" s="16">
        <v>481</v>
      </c>
      <c r="AJ62" s="16">
        <v>559</v>
      </c>
      <c r="AK62" s="16">
        <v>703</v>
      </c>
      <c r="AL62" s="16">
        <v>842</v>
      </c>
      <c r="AM62" s="16">
        <v>1000</v>
      </c>
      <c r="AP62" s="16">
        <v>15000</v>
      </c>
    </row>
    <row r="63" spans="1:43">
      <c r="B63" t="s">
        <v>793</v>
      </c>
      <c r="D63" s="16">
        <v>16800</v>
      </c>
      <c r="E63">
        <f t="shared" si="1"/>
        <v>16800</v>
      </c>
      <c r="F63" s="15">
        <f t="shared" si="12"/>
        <v>437</v>
      </c>
      <c r="G63" s="7">
        <f t="shared" si="2"/>
        <v>420</v>
      </c>
      <c r="I63" s="16">
        <v>19200</v>
      </c>
      <c r="J63">
        <f t="shared" si="0"/>
        <v>18000</v>
      </c>
      <c r="K63" s="15">
        <f t="shared" si="13"/>
        <v>467</v>
      </c>
      <c r="L63" s="7">
        <f t="shared" si="3"/>
        <v>450</v>
      </c>
      <c r="N63" s="16">
        <v>21600</v>
      </c>
      <c r="O63">
        <f t="shared" si="4"/>
        <v>21600</v>
      </c>
      <c r="P63" s="15">
        <f t="shared" si="14"/>
        <v>554</v>
      </c>
      <c r="Q63" s="7">
        <f t="shared" si="5"/>
        <v>540</v>
      </c>
      <c r="S63" s="16">
        <v>24000</v>
      </c>
      <c r="T63">
        <f t="shared" si="6"/>
        <v>24975</v>
      </c>
      <c r="U63" s="15">
        <f t="shared" si="15"/>
        <v>701</v>
      </c>
      <c r="V63" s="7">
        <f t="shared" si="7"/>
        <v>624.375</v>
      </c>
      <c r="X63" s="16">
        <v>25950</v>
      </c>
      <c r="Y63">
        <f t="shared" si="8"/>
        <v>27850</v>
      </c>
      <c r="Z63" s="15">
        <f t="shared" si="16"/>
        <v>782</v>
      </c>
      <c r="AA63" s="7">
        <f t="shared" si="9"/>
        <v>696.25</v>
      </c>
      <c r="AB63" s="16">
        <v>27850</v>
      </c>
      <c r="AC63" s="16">
        <v>29800</v>
      </c>
      <c r="AE63">
        <f t="shared" si="10"/>
        <v>30750</v>
      </c>
      <c r="AF63" s="7">
        <f t="shared" si="11"/>
        <v>768.75</v>
      </c>
      <c r="AG63" s="16">
        <v>31700</v>
      </c>
      <c r="AI63" s="16">
        <v>437</v>
      </c>
      <c r="AJ63" s="16">
        <v>467</v>
      </c>
      <c r="AK63" s="16">
        <v>554</v>
      </c>
      <c r="AL63" s="16">
        <v>701</v>
      </c>
      <c r="AM63" s="16">
        <v>782</v>
      </c>
      <c r="AP63" s="16">
        <v>13800</v>
      </c>
    </row>
    <row r="64" spans="1:43">
      <c r="A64" s="11"/>
      <c r="B64" s="11" t="s">
        <v>794</v>
      </c>
      <c r="C64" s="11"/>
      <c r="D64" s="16">
        <v>21500</v>
      </c>
      <c r="E64" s="11">
        <f t="shared" si="1"/>
        <v>21500</v>
      </c>
      <c r="F64" s="15">
        <f t="shared" si="12"/>
        <v>546</v>
      </c>
      <c r="G64" s="12">
        <f t="shared" si="2"/>
        <v>537.5</v>
      </c>
      <c r="H64" s="11"/>
      <c r="I64" s="16">
        <v>24550</v>
      </c>
      <c r="J64" s="11">
        <f t="shared" si="0"/>
        <v>23025</v>
      </c>
      <c r="K64" s="15">
        <f t="shared" si="13"/>
        <v>550</v>
      </c>
      <c r="L64" s="12">
        <f t="shared" si="3"/>
        <v>575.625</v>
      </c>
      <c r="M64" s="11"/>
      <c r="N64" s="16">
        <v>27600</v>
      </c>
      <c r="O64" s="11">
        <f t="shared" si="4"/>
        <v>27600</v>
      </c>
      <c r="P64" s="15">
        <f t="shared" si="14"/>
        <v>683</v>
      </c>
      <c r="Q64" s="12">
        <f t="shared" si="5"/>
        <v>690</v>
      </c>
      <c r="R64" s="11"/>
      <c r="S64" s="16">
        <v>30650</v>
      </c>
      <c r="T64" s="11">
        <f t="shared" si="6"/>
        <v>31900</v>
      </c>
      <c r="U64" s="15">
        <f t="shared" si="15"/>
        <v>897</v>
      </c>
      <c r="V64" s="12">
        <f t="shared" si="7"/>
        <v>797.5</v>
      </c>
      <c r="W64" s="11"/>
      <c r="X64" s="16">
        <v>33150</v>
      </c>
      <c r="Y64" s="11">
        <f t="shared" si="8"/>
        <v>35600</v>
      </c>
      <c r="Z64" s="15">
        <f t="shared" si="16"/>
        <v>1022</v>
      </c>
      <c r="AA64" s="12">
        <f t="shared" si="9"/>
        <v>890</v>
      </c>
      <c r="AB64" s="16">
        <v>35600</v>
      </c>
      <c r="AC64" s="16">
        <v>38050</v>
      </c>
      <c r="AD64" s="11"/>
      <c r="AE64" s="11">
        <f t="shared" si="10"/>
        <v>39275</v>
      </c>
      <c r="AF64" s="12">
        <f t="shared" si="11"/>
        <v>981.875</v>
      </c>
      <c r="AG64" s="16">
        <v>40500</v>
      </c>
      <c r="AH64" s="11"/>
      <c r="AI64" s="16">
        <v>546</v>
      </c>
      <c r="AJ64" s="16">
        <v>550</v>
      </c>
      <c r="AK64" s="16">
        <v>683</v>
      </c>
      <c r="AL64" s="16">
        <v>897</v>
      </c>
      <c r="AM64" s="16">
        <v>1022</v>
      </c>
      <c r="AO64" s="11"/>
      <c r="AP64" s="16">
        <v>16850</v>
      </c>
      <c r="AQ64" s="11"/>
    </row>
    <row r="65" spans="1:43">
      <c r="B65" t="s">
        <v>795</v>
      </c>
      <c r="D65" s="16">
        <v>18000</v>
      </c>
      <c r="E65">
        <f t="shared" si="1"/>
        <v>18000</v>
      </c>
      <c r="F65" s="15">
        <f t="shared" si="12"/>
        <v>484</v>
      </c>
      <c r="G65" s="7">
        <f t="shared" si="2"/>
        <v>450</v>
      </c>
      <c r="I65" s="16">
        <v>20600</v>
      </c>
      <c r="J65">
        <f t="shared" si="0"/>
        <v>19300</v>
      </c>
      <c r="K65" s="15">
        <f t="shared" si="13"/>
        <v>548</v>
      </c>
      <c r="L65" s="7">
        <f t="shared" si="3"/>
        <v>482.5</v>
      </c>
      <c r="N65" s="16">
        <v>23150</v>
      </c>
      <c r="O65">
        <f t="shared" si="4"/>
        <v>23150</v>
      </c>
      <c r="P65" s="15">
        <f t="shared" si="14"/>
        <v>681</v>
      </c>
      <c r="Q65" s="7">
        <f t="shared" si="5"/>
        <v>578.75</v>
      </c>
      <c r="S65" s="16">
        <v>25700</v>
      </c>
      <c r="T65">
        <f t="shared" si="6"/>
        <v>26750</v>
      </c>
      <c r="U65" s="15">
        <f t="shared" si="15"/>
        <v>904</v>
      </c>
      <c r="V65" s="7">
        <f t="shared" si="7"/>
        <v>668.75</v>
      </c>
      <c r="X65" s="16">
        <v>27800</v>
      </c>
      <c r="Y65">
        <f t="shared" si="8"/>
        <v>29850</v>
      </c>
      <c r="Z65" s="15">
        <f t="shared" si="16"/>
        <v>932</v>
      </c>
      <c r="AA65" s="7">
        <f t="shared" si="9"/>
        <v>746.25</v>
      </c>
      <c r="AB65" s="16">
        <v>29850</v>
      </c>
      <c r="AC65" s="16">
        <v>31900</v>
      </c>
      <c r="AE65">
        <f t="shared" si="10"/>
        <v>32925</v>
      </c>
      <c r="AF65" s="7">
        <f t="shared" si="11"/>
        <v>823.125</v>
      </c>
      <c r="AG65" s="16">
        <v>33950</v>
      </c>
      <c r="AI65" s="16">
        <v>484</v>
      </c>
      <c r="AJ65" s="16">
        <v>548</v>
      </c>
      <c r="AK65" s="16">
        <v>681</v>
      </c>
      <c r="AL65" s="16">
        <v>904</v>
      </c>
      <c r="AM65" s="16">
        <v>932</v>
      </c>
      <c r="AP65" s="16">
        <v>15100</v>
      </c>
    </row>
    <row r="66" spans="1:43">
      <c r="B66" t="s">
        <v>1965</v>
      </c>
      <c r="D66" s="16">
        <v>19900</v>
      </c>
      <c r="E66">
        <f t="shared" si="1"/>
        <v>19900</v>
      </c>
      <c r="F66" s="15">
        <f t="shared" si="12"/>
        <v>461</v>
      </c>
      <c r="G66" s="7">
        <f t="shared" si="2"/>
        <v>497.5</v>
      </c>
      <c r="I66" s="16">
        <v>22750</v>
      </c>
      <c r="J66">
        <f t="shared" si="0"/>
        <v>21325</v>
      </c>
      <c r="K66" s="15">
        <f t="shared" si="13"/>
        <v>462</v>
      </c>
      <c r="L66" s="7">
        <f t="shared" si="3"/>
        <v>533.125</v>
      </c>
      <c r="N66" s="16">
        <v>25600</v>
      </c>
      <c r="O66">
        <f t="shared" si="4"/>
        <v>25600</v>
      </c>
      <c r="P66" s="15">
        <f t="shared" si="14"/>
        <v>554</v>
      </c>
      <c r="Q66" s="7">
        <f t="shared" si="5"/>
        <v>640</v>
      </c>
      <c r="S66" s="16">
        <v>28400</v>
      </c>
      <c r="T66">
        <f t="shared" si="6"/>
        <v>29550</v>
      </c>
      <c r="U66" s="15">
        <f t="shared" si="15"/>
        <v>760</v>
      </c>
      <c r="V66" s="7">
        <f t="shared" si="7"/>
        <v>738.75</v>
      </c>
      <c r="X66" s="16">
        <v>30700</v>
      </c>
      <c r="Y66">
        <f t="shared" si="8"/>
        <v>32950</v>
      </c>
      <c r="Z66" s="15">
        <f t="shared" si="16"/>
        <v>786</v>
      </c>
      <c r="AA66" s="7">
        <f t="shared" si="9"/>
        <v>823.75</v>
      </c>
      <c r="AB66" s="16">
        <v>32950</v>
      </c>
      <c r="AC66" s="16">
        <v>35250</v>
      </c>
      <c r="AE66">
        <f t="shared" si="10"/>
        <v>36375</v>
      </c>
      <c r="AF66" s="7">
        <f t="shared" si="11"/>
        <v>909.375</v>
      </c>
      <c r="AG66" s="16">
        <v>37500</v>
      </c>
      <c r="AI66" s="16">
        <v>461</v>
      </c>
      <c r="AJ66" s="16">
        <v>462</v>
      </c>
      <c r="AK66" s="16">
        <v>554</v>
      </c>
      <c r="AL66" s="16">
        <v>760</v>
      </c>
      <c r="AM66" s="16">
        <v>786</v>
      </c>
      <c r="AP66" s="16">
        <v>14850</v>
      </c>
    </row>
    <row r="67" spans="1:43">
      <c r="B67" t="s">
        <v>1966</v>
      </c>
      <c r="D67" s="16">
        <v>17400</v>
      </c>
      <c r="E67">
        <f t="shared" si="1"/>
        <v>17400</v>
      </c>
      <c r="F67" s="15">
        <f t="shared" si="12"/>
        <v>454</v>
      </c>
      <c r="G67" s="7">
        <f t="shared" si="2"/>
        <v>435</v>
      </c>
      <c r="I67" s="16">
        <v>19850</v>
      </c>
      <c r="J67">
        <f t="shared" si="0"/>
        <v>18625</v>
      </c>
      <c r="K67" s="15">
        <f t="shared" si="13"/>
        <v>500</v>
      </c>
      <c r="L67" s="7">
        <f t="shared" si="3"/>
        <v>465.625</v>
      </c>
      <c r="N67" s="16">
        <v>22350</v>
      </c>
      <c r="O67">
        <f t="shared" si="4"/>
        <v>22350</v>
      </c>
      <c r="P67" s="15">
        <f t="shared" si="14"/>
        <v>554</v>
      </c>
      <c r="Q67" s="7">
        <f t="shared" si="5"/>
        <v>558.75</v>
      </c>
      <c r="S67" s="16">
        <v>24800</v>
      </c>
      <c r="T67">
        <f t="shared" si="6"/>
        <v>25800</v>
      </c>
      <c r="U67" s="15">
        <f t="shared" si="15"/>
        <v>804</v>
      </c>
      <c r="V67" s="7">
        <f t="shared" si="7"/>
        <v>645</v>
      </c>
      <c r="X67" s="16">
        <v>26800</v>
      </c>
      <c r="Y67">
        <f t="shared" si="8"/>
        <v>28800</v>
      </c>
      <c r="Z67" s="15">
        <f t="shared" si="16"/>
        <v>960</v>
      </c>
      <c r="AA67" s="7">
        <f t="shared" si="9"/>
        <v>720</v>
      </c>
      <c r="AB67" s="16">
        <v>28800</v>
      </c>
      <c r="AC67" s="16">
        <v>30800</v>
      </c>
      <c r="AE67">
        <f t="shared" si="10"/>
        <v>31775</v>
      </c>
      <c r="AF67" s="7">
        <f t="shared" si="11"/>
        <v>794.375</v>
      </c>
      <c r="AG67" s="16">
        <v>32750</v>
      </c>
      <c r="AI67" s="16">
        <v>454</v>
      </c>
      <c r="AJ67" s="16">
        <v>500</v>
      </c>
      <c r="AK67" s="16">
        <v>554</v>
      </c>
      <c r="AL67" s="16">
        <v>804</v>
      </c>
      <c r="AM67" s="16">
        <v>960</v>
      </c>
      <c r="AP67" s="16">
        <v>14600</v>
      </c>
    </row>
    <row r="68" spans="1:43">
      <c r="B68" t="s">
        <v>1967</v>
      </c>
      <c r="D68" s="16">
        <v>16800</v>
      </c>
      <c r="E68">
        <f t="shared" si="1"/>
        <v>16800</v>
      </c>
      <c r="F68" s="15">
        <f t="shared" si="12"/>
        <v>460</v>
      </c>
      <c r="G68" s="7">
        <f t="shared" si="2"/>
        <v>420</v>
      </c>
      <c r="I68" s="16">
        <v>19200</v>
      </c>
      <c r="J68">
        <f t="shared" si="0"/>
        <v>18000</v>
      </c>
      <c r="K68" s="15">
        <f t="shared" si="13"/>
        <v>464</v>
      </c>
      <c r="L68" s="7">
        <f t="shared" si="3"/>
        <v>450</v>
      </c>
      <c r="N68" s="16">
        <v>21600</v>
      </c>
      <c r="O68">
        <f t="shared" si="4"/>
        <v>21600</v>
      </c>
      <c r="P68" s="15">
        <f t="shared" si="14"/>
        <v>554</v>
      </c>
      <c r="Q68" s="7">
        <f t="shared" si="5"/>
        <v>540</v>
      </c>
      <c r="S68" s="16">
        <v>24000</v>
      </c>
      <c r="T68">
        <f t="shared" si="6"/>
        <v>24975</v>
      </c>
      <c r="U68" s="15">
        <f t="shared" si="15"/>
        <v>738</v>
      </c>
      <c r="V68" s="7">
        <f t="shared" si="7"/>
        <v>624.375</v>
      </c>
      <c r="X68" s="16">
        <v>25950</v>
      </c>
      <c r="Y68">
        <f t="shared" si="8"/>
        <v>27850</v>
      </c>
      <c r="Z68" s="15">
        <f t="shared" si="16"/>
        <v>760</v>
      </c>
      <c r="AA68" s="7">
        <f t="shared" si="9"/>
        <v>696.25</v>
      </c>
      <c r="AB68" s="16">
        <v>27850</v>
      </c>
      <c r="AC68" s="16">
        <v>29800</v>
      </c>
      <c r="AE68">
        <f t="shared" si="10"/>
        <v>30750</v>
      </c>
      <c r="AF68" s="7">
        <f t="shared" si="11"/>
        <v>768.75</v>
      </c>
      <c r="AG68" s="16">
        <v>31700</v>
      </c>
      <c r="AI68" s="16">
        <v>460</v>
      </c>
      <c r="AJ68" s="16">
        <v>464</v>
      </c>
      <c r="AK68" s="16">
        <v>554</v>
      </c>
      <c r="AL68" s="16">
        <v>738</v>
      </c>
      <c r="AM68" s="16">
        <v>760</v>
      </c>
      <c r="AP68" s="16">
        <v>13800</v>
      </c>
    </row>
    <row r="69" spans="1:43">
      <c r="A69" s="11"/>
      <c r="B69" s="11" t="s">
        <v>1968</v>
      </c>
      <c r="C69" s="11"/>
      <c r="D69" s="16">
        <v>16800</v>
      </c>
      <c r="E69" s="11">
        <f t="shared" si="1"/>
        <v>16800</v>
      </c>
      <c r="F69" s="15">
        <f t="shared" si="12"/>
        <v>447</v>
      </c>
      <c r="G69" s="12">
        <f t="shared" si="2"/>
        <v>420</v>
      </c>
      <c r="H69" s="11"/>
      <c r="I69" s="16">
        <v>19200</v>
      </c>
      <c r="J69" s="11">
        <f t="shared" si="0"/>
        <v>18000</v>
      </c>
      <c r="K69" s="15">
        <f t="shared" si="13"/>
        <v>448</v>
      </c>
      <c r="L69" s="12">
        <f t="shared" si="3"/>
        <v>450</v>
      </c>
      <c r="M69" s="11"/>
      <c r="N69" s="16">
        <v>21600</v>
      </c>
      <c r="O69" s="11">
        <f t="shared" si="4"/>
        <v>21600</v>
      </c>
      <c r="P69" s="15">
        <f t="shared" si="14"/>
        <v>566</v>
      </c>
      <c r="Q69" s="12">
        <f t="shared" si="5"/>
        <v>540</v>
      </c>
      <c r="R69" s="11"/>
      <c r="S69" s="16">
        <v>24000</v>
      </c>
      <c r="T69" s="11">
        <f t="shared" si="6"/>
        <v>24975</v>
      </c>
      <c r="U69" s="15">
        <f t="shared" si="15"/>
        <v>763</v>
      </c>
      <c r="V69" s="12">
        <f t="shared" si="7"/>
        <v>624.375</v>
      </c>
      <c r="W69" s="11"/>
      <c r="X69" s="16">
        <v>25950</v>
      </c>
      <c r="Y69" s="11">
        <f t="shared" si="8"/>
        <v>27850</v>
      </c>
      <c r="Z69" s="15">
        <f t="shared" si="16"/>
        <v>787</v>
      </c>
      <c r="AA69" s="12">
        <f t="shared" si="9"/>
        <v>696.25</v>
      </c>
      <c r="AB69" s="16">
        <v>27850</v>
      </c>
      <c r="AC69" s="16">
        <v>29800</v>
      </c>
      <c r="AD69" s="11"/>
      <c r="AE69" s="11">
        <f t="shared" si="10"/>
        <v>30750</v>
      </c>
      <c r="AF69" s="12">
        <f t="shared" si="11"/>
        <v>768.75</v>
      </c>
      <c r="AG69" s="16">
        <v>31700</v>
      </c>
      <c r="AH69" s="11"/>
      <c r="AI69" s="16">
        <v>447</v>
      </c>
      <c r="AJ69" s="16">
        <v>448</v>
      </c>
      <c r="AK69" s="16">
        <v>566</v>
      </c>
      <c r="AL69" s="16">
        <v>763</v>
      </c>
      <c r="AM69" s="16">
        <v>787</v>
      </c>
      <c r="AO69" s="11"/>
      <c r="AP69" s="16">
        <v>16650</v>
      </c>
      <c r="AQ69" s="11"/>
    </row>
    <row r="70" spans="1:43">
      <c r="B70" t="s">
        <v>1969</v>
      </c>
      <c r="D70" s="16">
        <v>22650</v>
      </c>
      <c r="E70">
        <f t="shared" si="1"/>
        <v>22650</v>
      </c>
      <c r="F70" s="15">
        <f t="shared" si="12"/>
        <v>638</v>
      </c>
      <c r="G70" s="7">
        <f t="shared" si="2"/>
        <v>566.25</v>
      </c>
      <c r="I70" s="16">
        <v>25850</v>
      </c>
      <c r="J70">
        <f t="shared" si="0"/>
        <v>24250</v>
      </c>
      <c r="K70" s="15">
        <f t="shared" si="13"/>
        <v>694</v>
      </c>
      <c r="L70" s="7">
        <f t="shared" si="3"/>
        <v>606.25</v>
      </c>
      <c r="N70" s="16">
        <v>29100</v>
      </c>
      <c r="O70">
        <f t="shared" si="4"/>
        <v>29100</v>
      </c>
      <c r="P70" s="15">
        <f t="shared" si="14"/>
        <v>801</v>
      </c>
      <c r="Q70" s="7">
        <f t="shared" si="5"/>
        <v>727.5</v>
      </c>
      <c r="S70" s="16">
        <v>32300</v>
      </c>
      <c r="T70">
        <f t="shared" si="6"/>
        <v>33600</v>
      </c>
      <c r="U70" s="15">
        <f t="shared" si="15"/>
        <v>1021</v>
      </c>
      <c r="V70" s="7">
        <f t="shared" si="7"/>
        <v>840</v>
      </c>
      <c r="X70" s="16">
        <v>34900</v>
      </c>
      <c r="Y70">
        <f t="shared" si="8"/>
        <v>37500</v>
      </c>
      <c r="Z70" s="15">
        <f t="shared" si="16"/>
        <v>1123</v>
      </c>
      <c r="AA70" s="7">
        <f t="shared" si="9"/>
        <v>937.5</v>
      </c>
      <c r="AB70" s="16">
        <v>37500</v>
      </c>
      <c r="AC70" s="16">
        <v>40100</v>
      </c>
      <c r="AE70">
        <f t="shared" si="10"/>
        <v>41375</v>
      </c>
      <c r="AF70" s="7">
        <f t="shared" si="11"/>
        <v>1034.375</v>
      </c>
      <c r="AG70" s="16">
        <v>42650</v>
      </c>
      <c r="AI70" s="16">
        <v>638</v>
      </c>
      <c r="AJ70" s="16">
        <v>694</v>
      </c>
      <c r="AK70" s="16">
        <v>801</v>
      </c>
      <c r="AL70" s="16">
        <v>1021</v>
      </c>
      <c r="AM70" s="16">
        <v>1123</v>
      </c>
      <c r="AP70" s="16">
        <v>19200</v>
      </c>
    </row>
    <row r="71" spans="1:43">
      <c r="B71" t="s">
        <v>1970</v>
      </c>
      <c r="D71" s="16">
        <v>16800</v>
      </c>
      <c r="E71">
        <f t="shared" si="1"/>
        <v>16800</v>
      </c>
      <c r="F71" s="15">
        <f t="shared" si="12"/>
        <v>437</v>
      </c>
      <c r="G71" s="7">
        <f t="shared" si="2"/>
        <v>420</v>
      </c>
      <c r="I71" s="16">
        <v>19200</v>
      </c>
      <c r="J71">
        <f t="shared" si="0"/>
        <v>18000</v>
      </c>
      <c r="K71" s="15">
        <f t="shared" si="13"/>
        <v>467</v>
      </c>
      <c r="L71" s="7">
        <f t="shared" si="3"/>
        <v>450</v>
      </c>
      <c r="N71" s="16">
        <v>21600</v>
      </c>
      <c r="O71">
        <f t="shared" si="4"/>
        <v>21600</v>
      </c>
      <c r="P71" s="15">
        <f t="shared" si="14"/>
        <v>554</v>
      </c>
      <c r="Q71" s="7">
        <f t="shared" si="5"/>
        <v>540</v>
      </c>
      <c r="S71" s="16">
        <v>24000</v>
      </c>
      <c r="T71">
        <f t="shared" si="6"/>
        <v>24975</v>
      </c>
      <c r="U71" s="15">
        <f t="shared" si="15"/>
        <v>701</v>
      </c>
      <c r="V71" s="7">
        <f t="shared" si="7"/>
        <v>624.375</v>
      </c>
      <c r="X71" s="16">
        <v>25950</v>
      </c>
      <c r="Y71">
        <f t="shared" si="8"/>
        <v>27850</v>
      </c>
      <c r="Z71" s="15">
        <f t="shared" si="16"/>
        <v>782</v>
      </c>
      <c r="AA71" s="7">
        <f t="shared" si="9"/>
        <v>696.25</v>
      </c>
      <c r="AB71" s="16">
        <v>27850</v>
      </c>
      <c r="AC71" s="16">
        <v>29800</v>
      </c>
      <c r="AE71">
        <f t="shared" si="10"/>
        <v>30750</v>
      </c>
      <c r="AF71" s="7">
        <f t="shared" si="11"/>
        <v>768.75</v>
      </c>
      <c r="AG71" s="16">
        <v>31700</v>
      </c>
      <c r="AI71" s="16">
        <v>437</v>
      </c>
      <c r="AJ71" s="16">
        <v>467</v>
      </c>
      <c r="AK71" s="16">
        <v>554</v>
      </c>
      <c r="AL71" s="16">
        <v>701</v>
      </c>
      <c r="AM71" s="16">
        <v>782</v>
      </c>
      <c r="AP71" s="16">
        <v>13800</v>
      </c>
    </row>
    <row r="72" spans="1:43">
      <c r="B72" t="s">
        <v>1971</v>
      </c>
      <c r="D72" s="16">
        <v>22650</v>
      </c>
      <c r="E72">
        <f t="shared" si="1"/>
        <v>22650</v>
      </c>
      <c r="F72" s="15">
        <f t="shared" si="12"/>
        <v>638</v>
      </c>
      <c r="G72" s="7">
        <f t="shared" si="2"/>
        <v>566.25</v>
      </c>
      <c r="I72" s="16">
        <v>25850</v>
      </c>
      <c r="J72">
        <f t="shared" si="0"/>
        <v>24250</v>
      </c>
      <c r="K72" s="15">
        <f t="shared" si="13"/>
        <v>694</v>
      </c>
      <c r="L72" s="7">
        <f t="shared" si="3"/>
        <v>606.25</v>
      </c>
      <c r="N72" s="16">
        <v>29100</v>
      </c>
      <c r="O72">
        <f t="shared" si="4"/>
        <v>29100</v>
      </c>
      <c r="P72" s="15">
        <f t="shared" si="14"/>
        <v>801</v>
      </c>
      <c r="Q72" s="7">
        <f t="shared" si="5"/>
        <v>727.5</v>
      </c>
      <c r="S72" s="16">
        <v>32300</v>
      </c>
      <c r="T72">
        <f t="shared" si="6"/>
        <v>33600</v>
      </c>
      <c r="U72" s="15">
        <f t="shared" si="15"/>
        <v>1021</v>
      </c>
      <c r="V72" s="7">
        <f t="shared" si="7"/>
        <v>840</v>
      </c>
      <c r="X72" s="16">
        <v>34900</v>
      </c>
      <c r="Y72">
        <f t="shared" si="8"/>
        <v>37500</v>
      </c>
      <c r="Z72" s="15">
        <f t="shared" si="16"/>
        <v>1123</v>
      </c>
      <c r="AA72" s="7">
        <f t="shared" si="9"/>
        <v>937.5</v>
      </c>
      <c r="AB72" s="16">
        <v>37500</v>
      </c>
      <c r="AC72" s="16">
        <v>40100</v>
      </c>
      <c r="AE72">
        <f t="shared" si="10"/>
        <v>41375</v>
      </c>
      <c r="AF72" s="7">
        <f t="shared" si="11"/>
        <v>1034.375</v>
      </c>
      <c r="AG72" s="16">
        <v>42650</v>
      </c>
      <c r="AI72" s="16">
        <v>638</v>
      </c>
      <c r="AJ72" s="16">
        <v>694</v>
      </c>
      <c r="AK72" s="16">
        <v>801</v>
      </c>
      <c r="AL72" s="16">
        <v>1021</v>
      </c>
      <c r="AM72" s="16">
        <v>1123</v>
      </c>
      <c r="AP72" s="16">
        <v>20350</v>
      </c>
    </row>
    <row r="73" spans="1:43">
      <c r="B73" t="s">
        <v>1972</v>
      </c>
      <c r="D73" s="16">
        <v>16800</v>
      </c>
      <c r="E73">
        <f t="shared" si="1"/>
        <v>16800</v>
      </c>
      <c r="F73" s="15">
        <f t="shared" si="12"/>
        <v>460</v>
      </c>
      <c r="G73" s="7">
        <f t="shared" si="2"/>
        <v>420</v>
      </c>
      <c r="I73" s="16">
        <v>19200</v>
      </c>
      <c r="J73">
        <f t="shared" si="0"/>
        <v>18000</v>
      </c>
      <c r="K73" s="15">
        <f t="shared" si="13"/>
        <v>499</v>
      </c>
      <c r="L73" s="7">
        <f t="shared" si="3"/>
        <v>450</v>
      </c>
      <c r="N73" s="16">
        <v>21600</v>
      </c>
      <c r="O73">
        <f t="shared" si="4"/>
        <v>21600</v>
      </c>
      <c r="P73" s="15">
        <f t="shared" si="14"/>
        <v>554</v>
      </c>
      <c r="Q73" s="7">
        <f t="shared" si="5"/>
        <v>540</v>
      </c>
      <c r="S73" s="16">
        <v>24000</v>
      </c>
      <c r="T73">
        <f t="shared" si="6"/>
        <v>24975</v>
      </c>
      <c r="U73" s="15">
        <f t="shared" si="15"/>
        <v>699</v>
      </c>
      <c r="V73" s="7">
        <f t="shared" si="7"/>
        <v>624.375</v>
      </c>
      <c r="X73" s="16">
        <v>25950</v>
      </c>
      <c r="Y73">
        <f t="shared" si="8"/>
        <v>27850</v>
      </c>
      <c r="Z73" s="15">
        <f t="shared" si="16"/>
        <v>744</v>
      </c>
      <c r="AA73" s="7">
        <f t="shared" si="9"/>
        <v>696.25</v>
      </c>
      <c r="AB73" s="16">
        <v>27850</v>
      </c>
      <c r="AC73" s="16">
        <v>29800</v>
      </c>
      <c r="AE73">
        <f t="shared" si="10"/>
        <v>30750</v>
      </c>
      <c r="AF73" s="7">
        <f t="shared" si="11"/>
        <v>768.75</v>
      </c>
      <c r="AG73" s="16">
        <v>31700</v>
      </c>
      <c r="AI73" s="16">
        <v>460</v>
      </c>
      <c r="AJ73" s="16">
        <v>499</v>
      </c>
      <c r="AK73" s="16">
        <v>554</v>
      </c>
      <c r="AL73" s="16">
        <v>699</v>
      </c>
      <c r="AM73" s="16">
        <v>744</v>
      </c>
      <c r="AP73" s="16">
        <v>13800</v>
      </c>
    </row>
    <row r="74" spans="1:43">
      <c r="F74" s="13"/>
      <c r="G74" s="7"/>
      <c r="K74" s="13"/>
      <c r="L74" s="7"/>
      <c r="P74" s="13"/>
      <c r="Q74" s="7"/>
      <c r="U74" s="13"/>
      <c r="V74" s="7"/>
      <c r="Z74" s="13"/>
      <c r="AA74" s="7"/>
      <c r="AF74" s="7"/>
    </row>
    <row r="75" spans="1:43">
      <c r="F75" s="13"/>
      <c r="G75" s="7"/>
      <c r="K75" s="13"/>
      <c r="L75" s="7"/>
      <c r="P75" s="13"/>
      <c r="Q75" s="7"/>
      <c r="U75" s="13"/>
      <c r="V75" s="7"/>
      <c r="Z75" s="13"/>
      <c r="AA75" s="7"/>
      <c r="AF75" s="7"/>
    </row>
    <row r="76" spans="1:43">
      <c r="D76">
        <f>AVERAGE(D10:D73)</f>
        <v>19016.40625</v>
      </c>
      <c r="F76" s="13"/>
      <c r="G76" s="7"/>
      <c r="I76">
        <f>AVERAGE(I10:I73)</f>
        <v>21721.875</v>
      </c>
      <c r="K76" s="13"/>
      <c r="L76" s="7"/>
      <c r="N76">
        <f>AVERAGE(N10:N73)</f>
        <v>24439.0625</v>
      </c>
      <c r="P76" s="13"/>
      <c r="Q76" s="7"/>
      <c r="S76">
        <f>AVERAGE(S10:S73)</f>
        <v>27137.5</v>
      </c>
      <c r="U76" s="13"/>
      <c r="V76" s="7"/>
      <c r="X76">
        <f>AVERAGE(X10:X73)</f>
        <v>29335.15625</v>
      </c>
      <c r="Z76" s="13"/>
      <c r="AA76" s="7"/>
      <c r="AB76">
        <f>AVERAGE(AB10:AB73)</f>
        <v>31499.21875</v>
      </c>
      <c r="AC76">
        <f>AVERAGE(AC10:AC73)</f>
        <v>33682.8125</v>
      </c>
      <c r="AF76" s="7"/>
      <c r="AG76">
        <f>AVERAGE(AG10:AG73)</f>
        <v>35839.0625</v>
      </c>
    </row>
    <row r="77" spans="1:43">
      <c r="F77" s="13"/>
      <c r="G77" s="7"/>
      <c r="K77" s="13"/>
      <c r="L77" s="7"/>
      <c r="P77" s="13"/>
      <c r="Q77" s="7"/>
      <c r="U77" s="13"/>
      <c r="V77" s="7"/>
      <c r="Z77" s="13"/>
      <c r="AA77" s="7"/>
      <c r="AF77" s="7"/>
    </row>
    <row r="78" spans="1:43">
      <c r="F78" s="13"/>
      <c r="G78" s="7"/>
      <c r="K78" s="13"/>
      <c r="L78" s="7"/>
      <c r="P78" s="13"/>
      <c r="Q78" s="7"/>
      <c r="U78" s="13"/>
      <c r="V78" s="7"/>
      <c r="Z78" s="13"/>
      <c r="AA78" s="7"/>
      <c r="AF78" s="7"/>
    </row>
    <row r="79" spans="1:43">
      <c r="F79" s="13"/>
      <c r="G79" s="7"/>
      <c r="K79" s="13"/>
      <c r="L79" s="7"/>
      <c r="P79" s="13"/>
      <c r="Q79" s="7"/>
      <c r="U79" s="13"/>
      <c r="V79" s="7"/>
      <c r="Z79" s="13"/>
      <c r="AA79" s="7"/>
      <c r="AF79" s="7"/>
    </row>
    <row r="80" spans="1:43">
      <c r="F80" s="13"/>
      <c r="G80" s="7"/>
      <c r="K80" s="13"/>
      <c r="L80" s="7"/>
      <c r="P80" s="13"/>
      <c r="Q80" s="7"/>
      <c r="U80" s="13"/>
      <c r="V80" s="7"/>
      <c r="Z80" s="13"/>
      <c r="AA80" s="7"/>
      <c r="AF80" s="7"/>
    </row>
    <row r="81" spans="4:32">
      <c r="F81" s="13"/>
      <c r="G81" s="7"/>
      <c r="K81" s="13"/>
      <c r="L81" s="7"/>
      <c r="P81" s="13"/>
      <c r="Q81" s="7"/>
      <c r="U81" s="13"/>
      <c r="V81" s="7"/>
      <c r="Z81" s="13"/>
      <c r="AA81" s="7"/>
      <c r="AF81" s="7"/>
    </row>
    <row r="82" spans="4:32">
      <c r="F82" s="13"/>
      <c r="G82" s="7"/>
      <c r="K82" s="13"/>
      <c r="L82" s="7"/>
      <c r="P82" s="13"/>
      <c r="Q82" s="7"/>
      <c r="U82" s="13"/>
      <c r="V82" s="7"/>
      <c r="Z82" s="13"/>
      <c r="AA82" s="7"/>
      <c r="AF82" s="7"/>
    </row>
    <row r="83" spans="4:32">
      <c r="F83" s="13"/>
      <c r="G83" s="7"/>
      <c r="K83" s="13"/>
      <c r="L83" s="7"/>
      <c r="P83" s="13"/>
      <c r="Q83" s="7"/>
      <c r="U83" s="13"/>
      <c r="V83" s="7"/>
      <c r="Z83" s="13"/>
      <c r="AA83" s="7"/>
      <c r="AF83" s="7"/>
    </row>
    <row r="84" spans="4:32">
      <c r="D84" t="s">
        <v>363</v>
      </c>
      <c r="F84" s="13"/>
      <c r="G84" s="7"/>
      <c r="K84" s="13"/>
      <c r="L84" s="7"/>
      <c r="P84" s="13"/>
      <c r="Q84" s="7"/>
      <c r="U84" s="13"/>
      <c r="V84" s="7"/>
      <c r="Z84" s="13"/>
      <c r="AA84" s="7"/>
      <c r="AF84" s="7"/>
    </row>
    <row r="85" spans="4:32">
      <c r="F85" s="13"/>
      <c r="G85" s="7"/>
      <c r="K85" s="13"/>
      <c r="L85" s="7"/>
      <c r="P85" s="13"/>
      <c r="Q85" s="7"/>
      <c r="U85" s="13"/>
      <c r="V85" s="7"/>
      <c r="Z85" s="13"/>
      <c r="AA85" s="7"/>
      <c r="AF85" s="7"/>
    </row>
    <row r="86" spans="4:32">
      <c r="F86" s="13"/>
      <c r="G86" s="7"/>
      <c r="K86" s="13"/>
      <c r="L86" s="7"/>
      <c r="P86" s="13"/>
      <c r="Q86" s="7"/>
      <c r="U86" s="13"/>
      <c r="V86" s="7"/>
      <c r="Z86" s="13"/>
      <c r="AA86" s="7"/>
      <c r="AF86" s="7"/>
    </row>
    <row r="87" spans="4:32">
      <c r="F87" s="13"/>
      <c r="G87" s="7"/>
      <c r="K87" s="13"/>
      <c r="L87" s="7"/>
      <c r="P87" s="13"/>
      <c r="Q87" s="7"/>
      <c r="U87" s="13"/>
      <c r="V87" s="7"/>
      <c r="Z87" s="13"/>
      <c r="AA87" s="7"/>
      <c r="AF87" s="7"/>
    </row>
    <row r="88" spans="4:32">
      <c r="F88" s="13"/>
      <c r="G88" s="7"/>
      <c r="K88" s="13"/>
      <c r="L88" s="7"/>
      <c r="P88" s="13"/>
      <c r="Q88" s="7"/>
      <c r="U88" s="13"/>
      <c r="V88" s="7"/>
      <c r="Z88" s="13"/>
      <c r="AA88" s="7"/>
      <c r="AF88" s="7"/>
    </row>
    <row r="89" spans="4:32">
      <c r="F89" s="13"/>
      <c r="G89" s="7"/>
      <c r="K89" s="13"/>
      <c r="L89" s="7"/>
      <c r="P89" s="13"/>
      <c r="Q89" s="7"/>
      <c r="U89" s="13"/>
      <c r="V89" s="7"/>
      <c r="Z89" s="13"/>
      <c r="AA89" s="7"/>
      <c r="AF89" s="7"/>
    </row>
  </sheetData>
  <sheetProtection password="CCBC" sheet="1"/>
  <mergeCells count="7">
    <mergeCell ref="B1:AF1"/>
    <mergeCell ref="B2:AF2"/>
    <mergeCell ref="F5:G5"/>
    <mergeCell ref="K5:L5"/>
    <mergeCell ref="P5:Q5"/>
    <mergeCell ref="U5:V5"/>
    <mergeCell ref="Z5:AA5"/>
  </mergeCells>
  <phoneticPr fontId="0" type="noConversion"/>
  <pageMargins left="0.75" right="0.75" top="1" bottom="1" header="0.5" footer="0.5"/>
  <headerFooter alignWithMargins="0"/>
  <legacy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8"/>
  <dimension ref="A1:AI91"/>
  <sheetViews>
    <sheetView workbookViewId="0">
      <pane ySplit="9" topLeftCell="A10" activePane="bottomLeft" state="frozen"/>
      <selection pane="bottomLeft" activeCell="I20" sqref="I20"/>
    </sheetView>
  </sheetViews>
  <sheetFormatPr baseColWidth="10" defaultColWidth="8.83203125" defaultRowHeight="13"/>
  <cols>
    <col min="1" max="1" width="3.6640625" customWidth="1"/>
    <col min="2" max="2" width="9.5" bestFit="1" customWidth="1"/>
  </cols>
  <sheetData>
    <row r="1" spans="1:35" ht="16">
      <c r="B1" s="1749" t="s">
        <v>1973</v>
      </c>
      <c r="C1" s="1749"/>
      <c r="D1" s="1749"/>
      <c r="E1" s="1749"/>
      <c r="F1" s="1749"/>
      <c r="G1" s="1749"/>
      <c r="H1" s="1749"/>
      <c r="I1" s="1749"/>
      <c r="J1" s="1749"/>
      <c r="K1" s="1749"/>
      <c r="L1" s="1749"/>
      <c r="M1" s="1749"/>
      <c r="N1" s="1749"/>
      <c r="O1" s="1749"/>
      <c r="P1" s="1749"/>
      <c r="Q1" s="1749"/>
      <c r="R1" s="1749"/>
      <c r="S1" s="1749"/>
      <c r="T1" s="1749"/>
      <c r="U1" s="1749"/>
      <c r="V1" s="1749"/>
      <c r="W1" s="1749"/>
      <c r="X1" s="1749"/>
      <c r="Y1" s="1749"/>
      <c r="Z1" s="1749"/>
      <c r="AA1" s="1749"/>
      <c r="AB1" s="1749"/>
      <c r="AC1" s="1749"/>
      <c r="AD1" s="1749"/>
      <c r="AE1" s="1749"/>
      <c r="AF1" s="1749"/>
    </row>
    <row r="2" spans="1:35">
      <c r="B2" s="1750" t="s">
        <v>743</v>
      </c>
      <c r="C2" s="1750"/>
      <c r="D2" s="1750"/>
      <c r="E2" s="1750"/>
      <c r="F2" s="1750"/>
      <c r="G2" s="1750"/>
      <c r="H2" s="1750"/>
      <c r="I2" s="1750"/>
      <c r="J2" s="1750"/>
      <c r="K2" s="1750"/>
      <c r="L2" s="1750"/>
      <c r="M2" s="1750"/>
      <c r="N2" s="1750"/>
      <c r="O2" s="1750"/>
      <c r="P2" s="1750"/>
      <c r="Q2" s="1750"/>
      <c r="R2" s="1750"/>
      <c r="S2" s="1750"/>
      <c r="T2" s="1750"/>
      <c r="U2" s="1750"/>
      <c r="V2" s="1750"/>
      <c r="W2" s="1750"/>
      <c r="X2" s="1750"/>
      <c r="Y2" s="1750"/>
      <c r="Z2" s="1750"/>
      <c r="AA2" s="1750"/>
      <c r="AB2" s="1750"/>
      <c r="AC2" s="1750"/>
      <c r="AD2" s="1750"/>
      <c r="AE2" s="1750"/>
      <c r="AF2" s="1750"/>
    </row>
    <row r="3" spans="1:35">
      <c r="B3" s="14">
        <f>+'5020'!B3</f>
        <v>40883</v>
      </c>
      <c r="F3" s="6"/>
      <c r="G3" s="7"/>
      <c r="K3" s="6"/>
      <c r="L3" s="7"/>
      <c r="P3" s="6"/>
      <c r="Q3" s="7"/>
      <c r="U3" s="6"/>
      <c r="V3" s="7"/>
      <c r="Z3" s="6"/>
      <c r="AA3" s="7"/>
      <c r="AF3" s="7"/>
    </row>
    <row r="4" spans="1:35">
      <c r="F4" s="6"/>
      <c r="G4" s="7"/>
      <c r="K4" s="6"/>
      <c r="L4" s="7"/>
      <c r="P4" s="6"/>
      <c r="Q4" s="7"/>
      <c r="U4" s="6"/>
      <c r="V4" s="7"/>
      <c r="Z4" s="6"/>
      <c r="AA4" s="7"/>
      <c r="AF4" s="7"/>
    </row>
    <row r="5" spans="1:35">
      <c r="E5" t="s">
        <v>1597</v>
      </c>
      <c r="F5" s="1751" t="s">
        <v>1597</v>
      </c>
      <c r="G5" s="1751"/>
      <c r="J5" t="s">
        <v>1598</v>
      </c>
      <c r="K5" s="1751" t="s">
        <v>1598</v>
      </c>
      <c r="L5" s="1751"/>
      <c r="O5" t="s">
        <v>1599</v>
      </c>
      <c r="P5" s="1751" t="s">
        <v>1599</v>
      </c>
      <c r="Q5" s="1751"/>
      <c r="T5" t="s">
        <v>1600</v>
      </c>
      <c r="U5" s="1751" t="s">
        <v>1600</v>
      </c>
      <c r="V5" s="1751"/>
      <c r="Y5" t="s">
        <v>1601</v>
      </c>
      <c r="Z5" s="1751" t="s">
        <v>1601</v>
      </c>
      <c r="AA5" s="1751"/>
      <c r="AE5" t="s">
        <v>1602</v>
      </c>
      <c r="AF5" s="8" t="s">
        <v>1603</v>
      </c>
    </row>
    <row r="6" spans="1:35">
      <c r="F6" s="6"/>
      <c r="G6" s="7"/>
      <c r="K6" s="6"/>
      <c r="L6" s="7"/>
      <c r="P6" s="6"/>
      <c r="Q6" s="7"/>
      <c r="U6" s="6"/>
      <c r="V6" s="7"/>
      <c r="Z6" s="6"/>
      <c r="AA6" s="7"/>
      <c r="AF6" s="7"/>
    </row>
    <row r="7" spans="1:35">
      <c r="F7" s="6" t="s">
        <v>1604</v>
      </c>
      <c r="G7" s="8" t="s">
        <v>369</v>
      </c>
      <c r="K7" s="6" t="s">
        <v>1604</v>
      </c>
      <c r="L7" s="8" t="s">
        <v>369</v>
      </c>
      <c r="P7" s="6" t="s">
        <v>1604</v>
      </c>
      <c r="Q7" s="8" t="s">
        <v>369</v>
      </c>
      <c r="U7" s="6" t="s">
        <v>1604</v>
      </c>
      <c r="V7" s="8" t="s">
        <v>369</v>
      </c>
      <c r="Z7" s="6" t="s">
        <v>1604</v>
      </c>
      <c r="AA7" s="8" t="s">
        <v>369</v>
      </c>
      <c r="AF7" s="8" t="s">
        <v>369</v>
      </c>
    </row>
    <row r="8" spans="1:35">
      <c r="B8" t="s">
        <v>1569</v>
      </c>
      <c r="D8">
        <v>1</v>
      </c>
      <c r="E8" t="s">
        <v>1566</v>
      </c>
      <c r="F8" s="6" t="s">
        <v>1567</v>
      </c>
      <c r="G8" s="8" t="s">
        <v>1567</v>
      </c>
      <c r="I8">
        <v>2</v>
      </c>
      <c r="J8" t="s">
        <v>1566</v>
      </c>
      <c r="K8" s="6" t="s">
        <v>1567</v>
      </c>
      <c r="L8" s="8" t="s">
        <v>1567</v>
      </c>
      <c r="N8">
        <v>3</v>
      </c>
      <c r="O8" t="s">
        <v>1566</v>
      </c>
      <c r="P8" s="6" t="s">
        <v>1567</v>
      </c>
      <c r="Q8" s="8" t="s">
        <v>1567</v>
      </c>
      <c r="S8">
        <v>4</v>
      </c>
      <c r="T8" t="s">
        <v>1566</v>
      </c>
      <c r="U8" s="6" t="s">
        <v>1567</v>
      </c>
      <c r="V8" s="8" t="s">
        <v>1567</v>
      </c>
      <c r="X8">
        <v>5</v>
      </c>
      <c r="Y8" t="s">
        <v>1566</v>
      </c>
      <c r="Z8" s="6" t="s">
        <v>1567</v>
      </c>
      <c r="AA8" s="8" t="s">
        <v>1567</v>
      </c>
      <c r="AB8">
        <v>6</v>
      </c>
      <c r="AC8">
        <v>7</v>
      </c>
      <c r="AE8" t="s">
        <v>1566</v>
      </c>
      <c r="AF8" s="8" t="s">
        <v>1567</v>
      </c>
      <c r="AG8">
        <v>8</v>
      </c>
    </row>
    <row r="9" spans="1:35">
      <c r="F9" s="6"/>
      <c r="G9" s="7"/>
      <c r="K9" s="6"/>
      <c r="L9" s="7"/>
      <c r="P9" s="6"/>
      <c r="Q9" s="7"/>
      <c r="U9" s="6"/>
      <c r="V9" s="7"/>
      <c r="Z9" s="6"/>
      <c r="AA9" s="7"/>
      <c r="AF9" s="7"/>
    </row>
    <row r="10" spans="1:35">
      <c r="B10" s="190" t="s">
        <v>508</v>
      </c>
      <c r="D10" s="16">
        <f>+'5020'!D10</f>
        <v>16800</v>
      </c>
      <c r="E10">
        <f>+D10*1.2</f>
        <v>20160</v>
      </c>
      <c r="F10" s="10">
        <f>+'5020'!F10</f>
        <v>455</v>
      </c>
      <c r="G10" s="7">
        <f>+(E10*0.3)/12</f>
        <v>504</v>
      </c>
      <c r="I10" s="16">
        <f>+'5020'!I10</f>
        <v>19200</v>
      </c>
      <c r="J10">
        <f>+(I10+D10)*1.2/2</f>
        <v>21600</v>
      </c>
      <c r="K10" s="10">
        <f>+'5020'!K10</f>
        <v>455</v>
      </c>
      <c r="L10" s="7">
        <f>+(J10*0.3)/12</f>
        <v>540</v>
      </c>
      <c r="N10" s="16">
        <f>+'5020'!N10</f>
        <v>21600</v>
      </c>
      <c r="O10">
        <f>+N10*1.2</f>
        <v>25920</v>
      </c>
      <c r="P10" s="10">
        <f>+'5020'!P10</f>
        <v>554</v>
      </c>
      <c r="Q10" s="7">
        <f>+(O10*0.3)/12</f>
        <v>648</v>
      </c>
      <c r="S10" s="16">
        <f>+'5020'!S10</f>
        <v>24000</v>
      </c>
      <c r="T10">
        <f>+(S10+X10)*1.2/2</f>
        <v>29700</v>
      </c>
      <c r="U10" s="10">
        <f>+'5020'!U10</f>
        <v>700</v>
      </c>
      <c r="V10" s="7">
        <f>+(T10*0.3)/12</f>
        <v>742.5</v>
      </c>
      <c r="X10" s="16">
        <v>25500</v>
      </c>
      <c r="Y10">
        <f>+AB10*1.2</f>
        <v>32880</v>
      </c>
      <c r="Z10" s="10">
        <f>+'5020'!Z10</f>
        <v>803</v>
      </c>
      <c r="AA10" s="7">
        <f>+(Y10*0.3)/12</f>
        <v>822</v>
      </c>
      <c r="AB10" s="16">
        <v>27400</v>
      </c>
      <c r="AC10" s="16">
        <v>29250</v>
      </c>
      <c r="AE10">
        <f>+(AC10+AG10)*1.2/2</f>
        <v>36240</v>
      </c>
      <c r="AF10" s="7">
        <f>+(AE10*0.3)/12</f>
        <v>906</v>
      </c>
      <c r="AG10" s="16">
        <v>31150</v>
      </c>
    </row>
    <row r="11" spans="1:35">
      <c r="B11" s="190" t="s">
        <v>509</v>
      </c>
      <c r="D11" s="16">
        <f>+'5020'!D11</f>
        <v>16800</v>
      </c>
      <c r="E11">
        <f t="shared" ref="E11:E73" si="0">+D11*1.2</f>
        <v>20160</v>
      </c>
      <c r="F11" s="10">
        <f>+'5020'!F11</f>
        <v>459</v>
      </c>
      <c r="G11" s="7">
        <f t="shared" ref="G11:G73" si="1">+(E11*0.3)/12</f>
        <v>504</v>
      </c>
      <c r="I11" s="16">
        <f>+'5020'!I11</f>
        <v>19200</v>
      </c>
      <c r="J11">
        <f t="shared" ref="J11:J73" si="2">+(I11+D11)*1.2/2</f>
        <v>21600</v>
      </c>
      <c r="K11" s="10">
        <f>+'5020'!K11</f>
        <v>461</v>
      </c>
      <c r="L11" s="7">
        <f t="shared" ref="L11:L73" si="3">+(J11*0.3)/12</f>
        <v>540</v>
      </c>
      <c r="N11" s="16">
        <f>+'5020'!N11</f>
        <v>21600</v>
      </c>
      <c r="O11">
        <f t="shared" ref="O11:O73" si="4">+N11*1.2</f>
        <v>25920</v>
      </c>
      <c r="P11" s="10">
        <f>+'5020'!P11</f>
        <v>554</v>
      </c>
      <c r="Q11" s="7">
        <f t="shared" ref="Q11:Q73" si="5">+(O11*0.3)/12</f>
        <v>648</v>
      </c>
      <c r="S11" s="16">
        <f>+'5020'!S11</f>
        <v>24000</v>
      </c>
      <c r="T11">
        <f t="shared" ref="T11:T73" si="6">+(S11+X11)*1.2/2</f>
        <v>29970</v>
      </c>
      <c r="U11" s="10">
        <f>+'5020'!U11</f>
        <v>805</v>
      </c>
      <c r="V11" s="7">
        <f t="shared" ref="V11:V73" si="7">+(T11*0.3)/12</f>
        <v>749.25</v>
      </c>
      <c r="X11" s="16">
        <f>+'5020'!X11</f>
        <v>25950</v>
      </c>
      <c r="Y11">
        <f t="shared" ref="Y11:Y73" si="8">+AB11*1.2</f>
        <v>29100</v>
      </c>
      <c r="Z11" s="10">
        <f>+'5020'!Z11</f>
        <v>894</v>
      </c>
      <c r="AA11" s="7">
        <f t="shared" ref="AA11:AA73" si="9">+(Y11*0.3)/12</f>
        <v>727.5</v>
      </c>
      <c r="AB11" s="16">
        <v>24250</v>
      </c>
      <c r="AC11" s="16">
        <v>25900</v>
      </c>
      <c r="AE11">
        <f t="shared" ref="AE11:AE73" si="10">+(AC11+AG11)*1.2/2</f>
        <v>32100</v>
      </c>
      <c r="AF11" s="7">
        <f t="shared" ref="AF11:AF73" si="11">+(AE11*0.3)/12</f>
        <v>802.5</v>
      </c>
      <c r="AG11" s="16">
        <v>27600</v>
      </c>
    </row>
    <row r="12" spans="1:35">
      <c r="B12" s="190" t="s">
        <v>510</v>
      </c>
      <c r="D12" s="16">
        <f>+'5020'!D12</f>
        <v>22650</v>
      </c>
      <c r="E12">
        <f t="shared" si="0"/>
        <v>27180</v>
      </c>
      <c r="F12" s="10">
        <f>+'5020'!F12</f>
        <v>638</v>
      </c>
      <c r="G12" s="7">
        <f t="shared" si="1"/>
        <v>679.5</v>
      </c>
      <c r="I12" s="16">
        <f>+'5020'!I12</f>
        <v>25850</v>
      </c>
      <c r="J12">
        <f t="shared" si="2"/>
        <v>29100</v>
      </c>
      <c r="K12" s="10">
        <f>+'5020'!K12</f>
        <v>694</v>
      </c>
      <c r="L12" s="7">
        <f t="shared" si="3"/>
        <v>727.5</v>
      </c>
      <c r="N12" s="16">
        <f>+'5020'!N12</f>
        <v>29100</v>
      </c>
      <c r="O12">
        <f t="shared" si="4"/>
        <v>34920</v>
      </c>
      <c r="P12" s="10">
        <f>+'5020'!P12</f>
        <v>801</v>
      </c>
      <c r="Q12" s="7">
        <f t="shared" si="5"/>
        <v>873</v>
      </c>
      <c r="S12" s="16">
        <f>+'5020'!S12</f>
        <v>32300</v>
      </c>
      <c r="T12">
        <f t="shared" si="6"/>
        <v>40320</v>
      </c>
      <c r="U12" s="10">
        <f>+'5020'!U12</f>
        <v>1021</v>
      </c>
      <c r="V12" s="7">
        <f t="shared" si="7"/>
        <v>1008</v>
      </c>
      <c r="X12" s="16">
        <f>+'5020'!X12</f>
        <v>34900</v>
      </c>
      <c r="Y12">
        <f t="shared" si="8"/>
        <v>45000</v>
      </c>
      <c r="Z12" s="10">
        <f>+'5020'!Z12</f>
        <v>1123</v>
      </c>
      <c r="AA12" s="7">
        <f t="shared" si="9"/>
        <v>1125</v>
      </c>
      <c r="AB12" s="16">
        <f>+'5020'!AB12</f>
        <v>37500</v>
      </c>
      <c r="AC12" s="16">
        <f>+'5020'!AC12</f>
        <v>40100</v>
      </c>
      <c r="AE12">
        <f t="shared" si="10"/>
        <v>46290</v>
      </c>
      <c r="AF12" s="7">
        <f t="shared" si="11"/>
        <v>1157.25</v>
      </c>
      <c r="AG12" s="16">
        <v>37050</v>
      </c>
    </row>
    <row r="13" spans="1:35">
      <c r="B13" s="190" t="s">
        <v>511</v>
      </c>
      <c r="D13" s="16">
        <f>+'5020'!D13</f>
        <v>19250</v>
      </c>
      <c r="E13">
        <f t="shared" si="0"/>
        <v>23100</v>
      </c>
      <c r="F13" s="10">
        <f>+'5020'!F13</f>
        <v>520</v>
      </c>
      <c r="G13" s="7">
        <f t="shared" si="1"/>
        <v>577.5</v>
      </c>
      <c r="I13" s="16">
        <f>+'5020'!I13</f>
        <v>22000</v>
      </c>
      <c r="J13">
        <f t="shared" si="2"/>
        <v>24750</v>
      </c>
      <c r="K13" s="10">
        <f>+'5020'!K13</f>
        <v>522</v>
      </c>
      <c r="L13" s="7">
        <f t="shared" si="3"/>
        <v>618.75</v>
      </c>
      <c r="N13" s="16">
        <f>+'5020'!N13</f>
        <v>24750</v>
      </c>
      <c r="O13">
        <f t="shared" si="4"/>
        <v>29700</v>
      </c>
      <c r="P13" s="10">
        <f>+'5020'!P13</f>
        <v>627</v>
      </c>
      <c r="Q13" s="7">
        <f t="shared" si="5"/>
        <v>742.5</v>
      </c>
      <c r="S13" s="16">
        <f>+'5020'!S13</f>
        <v>27450</v>
      </c>
      <c r="T13">
        <f t="shared" si="6"/>
        <v>34260</v>
      </c>
      <c r="U13" s="10">
        <f>+'5020'!U13</f>
        <v>765</v>
      </c>
      <c r="V13" s="7">
        <f t="shared" si="7"/>
        <v>856.5</v>
      </c>
      <c r="X13" s="16">
        <f>+'5020'!X13</f>
        <v>29650</v>
      </c>
      <c r="Y13">
        <f t="shared" si="8"/>
        <v>38220</v>
      </c>
      <c r="Z13" s="10">
        <f>+'5020'!Z13</f>
        <v>786</v>
      </c>
      <c r="AA13" s="7">
        <f t="shared" si="9"/>
        <v>955.5</v>
      </c>
      <c r="AB13" s="16">
        <f>+'5020'!AB13</f>
        <v>31850</v>
      </c>
      <c r="AC13" s="16">
        <f>+'5020'!AC13</f>
        <v>34050</v>
      </c>
      <c r="AE13">
        <f t="shared" si="10"/>
        <v>39270</v>
      </c>
      <c r="AF13" s="7">
        <f t="shared" si="11"/>
        <v>981.75</v>
      </c>
      <c r="AG13" s="16">
        <v>31400</v>
      </c>
    </row>
    <row r="14" spans="1:35">
      <c r="A14" s="11"/>
      <c r="B14" s="190" t="s">
        <v>512</v>
      </c>
      <c r="C14" s="11"/>
      <c r="D14" s="16">
        <f>+'5020'!D14</f>
        <v>16800</v>
      </c>
      <c r="E14" s="11">
        <f t="shared" si="0"/>
        <v>20160</v>
      </c>
      <c r="F14" s="10">
        <f>+'5020'!F14</f>
        <v>358</v>
      </c>
      <c r="G14" s="7">
        <f t="shared" si="1"/>
        <v>504</v>
      </c>
      <c r="H14" s="11"/>
      <c r="I14" s="16">
        <f>+'5020'!I14</f>
        <v>19200</v>
      </c>
      <c r="J14" s="11">
        <f t="shared" si="2"/>
        <v>21600</v>
      </c>
      <c r="K14" s="10">
        <f>+'5020'!K14</f>
        <v>488</v>
      </c>
      <c r="L14" s="7">
        <f t="shared" si="3"/>
        <v>540</v>
      </c>
      <c r="M14" s="11"/>
      <c r="N14" s="16">
        <f>+'5020'!N14</f>
        <v>21600</v>
      </c>
      <c r="O14" s="11">
        <f t="shared" si="4"/>
        <v>25920</v>
      </c>
      <c r="P14" s="10">
        <f>+'5020'!P14</f>
        <v>554</v>
      </c>
      <c r="Q14" s="7">
        <f t="shared" si="5"/>
        <v>648</v>
      </c>
      <c r="R14" s="11"/>
      <c r="S14" s="16">
        <f>+'5020'!S14</f>
        <v>24000</v>
      </c>
      <c r="T14" s="11">
        <f t="shared" si="6"/>
        <v>29970</v>
      </c>
      <c r="U14" s="10">
        <f>+'5020'!U14</f>
        <v>754</v>
      </c>
      <c r="V14" s="7">
        <f t="shared" si="7"/>
        <v>749.25</v>
      </c>
      <c r="W14" s="11"/>
      <c r="X14" s="16">
        <f>+'5020'!X14</f>
        <v>25950</v>
      </c>
      <c r="Y14" s="11">
        <f t="shared" si="8"/>
        <v>33420</v>
      </c>
      <c r="Z14" s="10">
        <f>+'5020'!Z14</f>
        <v>901</v>
      </c>
      <c r="AA14" s="7">
        <f t="shared" si="9"/>
        <v>835.5</v>
      </c>
      <c r="AB14" s="16">
        <f>+'5020'!AB14</f>
        <v>27850</v>
      </c>
      <c r="AC14" s="16">
        <f>+'5020'!AC14</f>
        <v>29800</v>
      </c>
      <c r="AD14" s="11"/>
      <c r="AE14" s="11">
        <f t="shared" si="10"/>
        <v>33720</v>
      </c>
      <c r="AF14" s="12">
        <f t="shared" si="11"/>
        <v>843</v>
      </c>
      <c r="AG14" s="16">
        <v>26400</v>
      </c>
      <c r="AH14" s="11"/>
      <c r="AI14" s="11"/>
    </row>
    <row r="15" spans="1:35">
      <c r="B15" s="190" t="s">
        <v>513</v>
      </c>
      <c r="D15" s="16">
        <f>+'5020'!D15</f>
        <v>19100</v>
      </c>
      <c r="E15">
        <f t="shared" si="0"/>
        <v>22920</v>
      </c>
      <c r="F15" s="10">
        <f>+'5020'!F15</f>
        <v>473</v>
      </c>
      <c r="G15" s="7">
        <f t="shared" si="1"/>
        <v>573</v>
      </c>
      <c r="I15" s="16">
        <f>+'5020'!I15</f>
        <v>21800</v>
      </c>
      <c r="J15">
        <f t="shared" si="2"/>
        <v>24540</v>
      </c>
      <c r="K15" s="10">
        <f>+'5020'!K15</f>
        <v>485</v>
      </c>
      <c r="L15" s="7">
        <f t="shared" si="3"/>
        <v>613.5</v>
      </c>
      <c r="N15" s="16">
        <f>+'5020'!N15</f>
        <v>24550</v>
      </c>
      <c r="O15">
        <f t="shared" si="4"/>
        <v>29460</v>
      </c>
      <c r="P15" s="10">
        <f>+'5020'!P15</f>
        <v>571</v>
      </c>
      <c r="Q15" s="7">
        <f t="shared" si="5"/>
        <v>736.5</v>
      </c>
      <c r="S15" s="16">
        <f>+'5020'!S15</f>
        <v>27250</v>
      </c>
      <c r="T15">
        <f t="shared" si="6"/>
        <v>34020</v>
      </c>
      <c r="U15" s="10">
        <f>+'5020'!U15</f>
        <v>831</v>
      </c>
      <c r="V15" s="7">
        <f t="shared" si="7"/>
        <v>850.5</v>
      </c>
      <c r="X15" s="16">
        <f>+'5020'!X15</f>
        <v>29450</v>
      </c>
      <c r="Y15">
        <f t="shared" si="8"/>
        <v>37980</v>
      </c>
      <c r="Z15" s="10">
        <f>+'5020'!Z15</f>
        <v>1000</v>
      </c>
      <c r="AA15" s="7">
        <f t="shared" si="9"/>
        <v>949.5</v>
      </c>
      <c r="AB15" s="16">
        <f>+'5020'!AB15</f>
        <v>31650</v>
      </c>
      <c r="AC15" s="16">
        <f>+'5020'!AC15</f>
        <v>33800</v>
      </c>
      <c r="AE15">
        <f t="shared" si="10"/>
        <v>38640</v>
      </c>
      <c r="AF15" s="7">
        <f t="shared" si="11"/>
        <v>966</v>
      </c>
      <c r="AG15" s="16">
        <v>30600</v>
      </c>
    </row>
    <row r="16" spans="1:35">
      <c r="B16" s="190" t="s">
        <v>1640</v>
      </c>
      <c r="D16" s="16">
        <f>+'5020'!D16</f>
        <v>16800</v>
      </c>
      <c r="E16">
        <f t="shared" si="0"/>
        <v>20160</v>
      </c>
      <c r="F16" s="10">
        <f>+'5020'!F16</f>
        <v>510</v>
      </c>
      <c r="G16" s="7">
        <f t="shared" si="1"/>
        <v>504</v>
      </c>
      <c r="I16" s="16">
        <f>+'5020'!I16</f>
        <v>19200</v>
      </c>
      <c r="J16">
        <f t="shared" si="2"/>
        <v>21600</v>
      </c>
      <c r="K16" s="10">
        <f>+'5020'!K16</f>
        <v>519</v>
      </c>
      <c r="L16" s="7">
        <f t="shared" si="3"/>
        <v>540</v>
      </c>
      <c r="N16" s="16">
        <f>+'5020'!N16</f>
        <v>21600</v>
      </c>
      <c r="O16">
        <f t="shared" si="4"/>
        <v>25920</v>
      </c>
      <c r="P16" s="10">
        <f>+'5020'!P16</f>
        <v>614</v>
      </c>
      <c r="Q16" s="7">
        <f t="shared" si="5"/>
        <v>648</v>
      </c>
      <c r="S16" s="16">
        <f>+'5020'!S16</f>
        <v>24000</v>
      </c>
      <c r="T16">
        <f t="shared" si="6"/>
        <v>29970</v>
      </c>
      <c r="U16" s="10">
        <f>+'5020'!U16</f>
        <v>734</v>
      </c>
      <c r="V16" s="7">
        <f t="shared" si="7"/>
        <v>749.25</v>
      </c>
      <c r="X16" s="16">
        <f>+'5020'!X16</f>
        <v>25950</v>
      </c>
      <c r="Y16">
        <f t="shared" si="8"/>
        <v>33420</v>
      </c>
      <c r="Z16" s="10">
        <f>+'5020'!Z16</f>
        <v>803</v>
      </c>
      <c r="AA16" s="7">
        <f t="shared" si="9"/>
        <v>835.5</v>
      </c>
      <c r="AB16" s="16">
        <f>+'5020'!AB16</f>
        <v>27850</v>
      </c>
      <c r="AC16" s="16">
        <f>+'5020'!AC16</f>
        <v>29800</v>
      </c>
      <c r="AE16">
        <f t="shared" si="10"/>
        <v>33720</v>
      </c>
      <c r="AF16" s="7">
        <f t="shared" si="11"/>
        <v>843</v>
      </c>
      <c r="AG16" s="16">
        <v>26400</v>
      </c>
    </row>
    <row r="17" spans="1:35">
      <c r="B17" s="190" t="s">
        <v>1641</v>
      </c>
      <c r="D17" s="16">
        <f>+'5020'!D17</f>
        <v>19450</v>
      </c>
      <c r="E17">
        <f t="shared" si="0"/>
        <v>23340</v>
      </c>
      <c r="F17" s="10">
        <f>+'5020'!F17</f>
        <v>552</v>
      </c>
      <c r="G17" s="7">
        <f t="shared" si="1"/>
        <v>583.5</v>
      </c>
      <c r="I17" s="16">
        <f>+'5020'!I17</f>
        <v>22200</v>
      </c>
      <c r="J17">
        <f t="shared" si="2"/>
        <v>24990</v>
      </c>
      <c r="K17" s="10">
        <f>+'5020'!K17</f>
        <v>635</v>
      </c>
      <c r="L17" s="7">
        <f t="shared" si="3"/>
        <v>624.75</v>
      </c>
      <c r="N17" s="16">
        <f>+'5020'!N17</f>
        <v>25000</v>
      </c>
      <c r="O17">
        <f t="shared" si="4"/>
        <v>30000</v>
      </c>
      <c r="P17" s="10">
        <f>+'5020'!P17</f>
        <v>742</v>
      </c>
      <c r="Q17" s="7">
        <f t="shared" si="5"/>
        <v>750</v>
      </c>
      <c r="S17" s="16">
        <f>+'5020'!S17</f>
        <v>27750</v>
      </c>
      <c r="T17">
        <f t="shared" si="6"/>
        <v>34650</v>
      </c>
      <c r="U17" s="10">
        <f>+'5020'!U17</f>
        <v>942</v>
      </c>
      <c r="V17" s="7">
        <f t="shared" si="7"/>
        <v>866.25</v>
      </c>
      <c r="X17" s="16">
        <f>+'5020'!X17</f>
        <v>30000</v>
      </c>
      <c r="Y17">
        <f t="shared" si="8"/>
        <v>38640</v>
      </c>
      <c r="Z17" s="10">
        <f>+'5020'!Z17</f>
        <v>971</v>
      </c>
      <c r="AA17" s="7">
        <f t="shared" si="9"/>
        <v>966</v>
      </c>
      <c r="AB17" s="16">
        <f>+'5020'!AB17</f>
        <v>32200</v>
      </c>
      <c r="AC17" s="16">
        <f>+'5020'!AC17</f>
        <v>34450</v>
      </c>
      <c r="AE17">
        <f t="shared" si="10"/>
        <v>40320</v>
      </c>
      <c r="AF17" s="7">
        <f t="shared" si="11"/>
        <v>1008</v>
      </c>
      <c r="AG17" s="16">
        <v>32750</v>
      </c>
    </row>
    <row r="18" spans="1:35">
      <c r="B18" s="190" t="s">
        <v>1642</v>
      </c>
      <c r="D18" s="16">
        <f>+'5020'!D18</f>
        <v>19450</v>
      </c>
      <c r="E18">
        <f t="shared" si="0"/>
        <v>23340</v>
      </c>
      <c r="F18" s="10">
        <f>+'5020'!F18</f>
        <v>552</v>
      </c>
      <c r="G18" s="7">
        <f t="shared" si="1"/>
        <v>583.5</v>
      </c>
      <c r="I18" s="16">
        <f>+'5020'!I18</f>
        <v>22200</v>
      </c>
      <c r="J18">
        <f t="shared" si="2"/>
        <v>24990</v>
      </c>
      <c r="K18" s="10">
        <f>+'5020'!K18</f>
        <v>635</v>
      </c>
      <c r="L18" s="7">
        <f t="shared" si="3"/>
        <v>624.75</v>
      </c>
      <c r="N18" s="16">
        <f>+'5020'!N18</f>
        <v>25000</v>
      </c>
      <c r="O18">
        <f t="shared" si="4"/>
        <v>30000</v>
      </c>
      <c r="P18" s="10">
        <f>+'5020'!P18</f>
        <v>742</v>
      </c>
      <c r="Q18" s="7">
        <f t="shared" si="5"/>
        <v>750</v>
      </c>
      <c r="S18" s="16">
        <f>+'5020'!S18</f>
        <v>27750</v>
      </c>
      <c r="T18">
        <f t="shared" si="6"/>
        <v>34650</v>
      </c>
      <c r="U18" s="10">
        <f>+'5020'!U18</f>
        <v>942</v>
      </c>
      <c r="V18" s="7">
        <f t="shared" si="7"/>
        <v>866.25</v>
      </c>
      <c r="X18" s="16">
        <f>+'5020'!X18</f>
        <v>30000</v>
      </c>
      <c r="Y18">
        <f t="shared" si="8"/>
        <v>38640</v>
      </c>
      <c r="Z18" s="10">
        <f>+'5020'!Z18</f>
        <v>971</v>
      </c>
      <c r="AA18" s="7">
        <f t="shared" si="9"/>
        <v>966</v>
      </c>
      <c r="AB18" s="16">
        <f>+'5020'!AB18</f>
        <v>32200</v>
      </c>
      <c r="AC18" s="16">
        <f>+'5020'!AC18</f>
        <v>34450</v>
      </c>
      <c r="AD18">
        <v>0</v>
      </c>
      <c r="AE18">
        <f t="shared" si="10"/>
        <v>40320</v>
      </c>
      <c r="AF18" s="7">
        <f t="shared" si="11"/>
        <v>1008</v>
      </c>
      <c r="AG18" s="16">
        <v>32750</v>
      </c>
    </row>
    <row r="19" spans="1:35">
      <c r="A19" s="11"/>
      <c r="B19" s="190" t="s">
        <v>1643</v>
      </c>
      <c r="C19" s="11"/>
      <c r="D19" s="16">
        <f>+'5020'!D19</f>
        <v>20150</v>
      </c>
      <c r="E19" s="11">
        <f t="shared" si="0"/>
        <v>24180</v>
      </c>
      <c r="F19" s="10">
        <f>+'5020'!F19</f>
        <v>533</v>
      </c>
      <c r="G19" s="7">
        <f t="shared" si="1"/>
        <v>604.5</v>
      </c>
      <c r="H19" s="11"/>
      <c r="I19" s="16">
        <f>+'5020'!I19</f>
        <v>23000</v>
      </c>
      <c r="J19" s="11">
        <f t="shared" si="2"/>
        <v>25890</v>
      </c>
      <c r="K19" s="10">
        <f>+'5020'!K19</f>
        <v>601</v>
      </c>
      <c r="L19" s="7">
        <f t="shared" si="3"/>
        <v>647.25</v>
      </c>
      <c r="M19" s="11"/>
      <c r="N19" s="16">
        <f>+'5020'!N19</f>
        <v>25900</v>
      </c>
      <c r="O19" s="11">
        <f t="shared" si="4"/>
        <v>31080</v>
      </c>
      <c r="P19" s="10">
        <f>+'5020'!P19</f>
        <v>731</v>
      </c>
      <c r="Q19" s="7">
        <f t="shared" si="5"/>
        <v>777</v>
      </c>
      <c r="R19" s="11"/>
      <c r="S19" s="16">
        <f>+'5020'!S19</f>
        <v>28750</v>
      </c>
      <c r="T19" s="11">
        <f t="shared" si="6"/>
        <v>35880</v>
      </c>
      <c r="U19" s="10">
        <f>+'5020'!U19</f>
        <v>902</v>
      </c>
      <c r="V19" s="7">
        <f t="shared" si="7"/>
        <v>897</v>
      </c>
      <c r="W19" s="11"/>
      <c r="X19" s="16">
        <f>+'5020'!X19</f>
        <v>31050</v>
      </c>
      <c r="Y19" s="11">
        <f t="shared" si="8"/>
        <v>40020</v>
      </c>
      <c r="Z19" s="10">
        <f>+'5020'!Z19</f>
        <v>1270</v>
      </c>
      <c r="AA19" s="7">
        <f t="shared" si="9"/>
        <v>1000.5</v>
      </c>
      <c r="AB19" s="16">
        <f>+'5020'!AB19</f>
        <v>33350</v>
      </c>
      <c r="AC19" s="16">
        <f>+'5020'!AC19</f>
        <v>35650</v>
      </c>
      <c r="AD19" s="11"/>
      <c r="AE19" s="11">
        <f t="shared" si="10"/>
        <v>41550</v>
      </c>
      <c r="AF19" s="12">
        <f t="shared" si="11"/>
        <v>1038.75</v>
      </c>
      <c r="AG19" s="16">
        <v>33600</v>
      </c>
      <c r="AH19" s="11"/>
      <c r="AI19" s="11"/>
    </row>
    <row r="20" spans="1:35">
      <c r="B20" s="190" t="s">
        <v>1644</v>
      </c>
      <c r="D20" s="16">
        <f>+'5020'!D20</f>
        <v>17150</v>
      </c>
      <c r="E20">
        <f t="shared" si="0"/>
        <v>20580</v>
      </c>
      <c r="F20" s="10">
        <f>+'5020'!F20</f>
        <v>437</v>
      </c>
      <c r="G20" s="7">
        <f t="shared" si="1"/>
        <v>514.5</v>
      </c>
      <c r="I20" s="16">
        <f>+'5020'!I20</f>
        <v>19600</v>
      </c>
      <c r="J20">
        <f t="shared" si="2"/>
        <v>22050</v>
      </c>
      <c r="K20" s="10">
        <f>+'5020'!K20</f>
        <v>467</v>
      </c>
      <c r="L20" s="7">
        <f t="shared" si="3"/>
        <v>551.25</v>
      </c>
      <c r="N20" s="16">
        <f>+'5020'!N20</f>
        <v>22050</v>
      </c>
      <c r="O20">
        <f t="shared" si="4"/>
        <v>26460</v>
      </c>
      <c r="P20" s="10">
        <f>+'5020'!P20</f>
        <v>554</v>
      </c>
      <c r="Q20" s="7">
        <f t="shared" si="5"/>
        <v>661.5</v>
      </c>
      <c r="S20" s="16">
        <f>+'5020'!S20</f>
        <v>24500</v>
      </c>
      <c r="T20">
        <f t="shared" si="6"/>
        <v>30600</v>
      </c>
      <c r="U20" s="10">
        <f>+'5020'!U20</f>
        <v>701</v>
      </c>
      <c r="V20" s="7">
        <f t="shared" si="7"/>
        <v>765</v>
      </c>
      <c r="X20" s="16">
        <f>+'5020'!X20</f>
        <v>26500</v>
      </c>
      <c r="Y20">
        <f t="shared" si="8"/>
        <v>34140</v>
      </c>
      <c r="Z20" s="10">
        <f>+'5020'!Z20</f>
        <v>782</v>
      </c>
      <c r="AA20" s="7">
        <f t="shared" si="9"/>
        <v>853.5</v>
      </c>
      <c r="AB20" s="16">
        <f>+'5020'!AB20</f>
        <v>28450</v>
      </c>
      <c r="AC20" s="16">
        <f>+'5020'!AC20</f>
        <v>30400</v>
      </c>
      <c r="AE20">
        <f t="shared" si="10"/>
        <v>34530</v>
      </c>
      <c r="AF20" s="7">
        <f t="shared" si="11"/>
        <v>863.25</v>
      </c>
      <c r="AG20" s="16">
        <v>27150</v>
      </c>
    </row>
    <row r="21" spans="1:35">
      <c r="B21" s="190" t="s">
        <v>1645</v>
      </c>
      <c r="D21" s="16">
        <f>+'5020'!D21</f>
        <v>20150</v>
      </c>
      <c r="E21">
        <f t="shared" si="0"/>
        <v>24180</v>
      </c>
      <c r="F21" s="10">
        <f>+'5020'!F21</f>
        <v>533</v>
      </c>
      <c r="G21" s="7">
        <f t="shared" si="1"/>
        <v>604.5</v>
      </c>
      <c r="I21" s="16">
        <f>+'5020'!I21</f>
        <v>23000</v>
      </c>
      <c r="J21">
        <f t="shared" si="2"/>
        <v>25890</v>
      </c>
      <c r="K21" s="10">
        <f>+'5020'!K21</f>
        <v>601</v>
      </c>
      <c r="L21" s="7">
        <f t="shared" si="3"/>
        <v>647.25</v>
      </c>
      <c r="N21" s="16">
        <f>+'5020'!N21</f>
        <v>25900</v>
      </c>
      <c r="O21">
        <f t="shared" si="4"/>
        <v>31080</v>
      </c>
      <c r="P21" s="10">
        <f>+'5020'!P21</f>
        <v>731</v>
      </c>
      <c r="Q21" s="7">
        <f t="shared" si="5"/>
        <v>777</v>
      </c>
      <c r="S21" s="16">
        <f>+'5020'!S21</f>
        <v>28750</v>
      </c>
      <c r="T21">
        <f t="shared" si="6"/>
        <v>35880</v>
      </c>
      <c r="U21" s="10">
        <f>+'5020'!U21</f>
        <v>902</v>
      </c>
      <c r="V21" s="7">
        <f t="shared" si="7"/>
        <v>897</v>
      </c>
      <c r="X21" s="16">
        <f>+'5020'!X21</f>
        <v>31050</v>
      </c>
      <c r="Y21">
        <f t="shared" si="8"/>
        <v>40020</v>
      </c>
      <c r="Z21" s="10">
        <f>+'5020'!Z21</f>
        <v>1270</v>
      </c>
      <c r="AA21" s="7">
        <f t="shared" si="9"/>
        <v>1000.5</v>
      </c>
      <c r="AB21" s="16">
        <f>+'5020'!AB21</f>
        <v>33350</v>
      </c>
      <c r="AC21" s="16">
        <f>+'5020'!AC21</f>
        <v>35650</v>
      </c>
      <c r="AE21">
        <f t="shared" si="10"/>
        <v>41550</v>
      </c>
      <c r="AF21" s="7">
        <f t="shared" si="11"/>
        <v>1038.75</v>
      </c>
      <c r="AG21" s="16">
        <v>33600</v>
      </c>
    </row>
    <row r="22" spans="1:35">
      <c r="B22" s="190" t="s">
        <v>1646</v>
      </c>
      <c r="D22" s="16">
        <f>+'5020'!D22</f>
        <v>16800</v>
      </c>
      <c r="E22">
        <f t="shared" si="0"/>
        <v>20160</v>
      </c>
      <c r="F22" s="10">
        <f>+'5020'!F22</f>
        <v>420</v>
      </c>
      <c r="G22" s="7">
        <f t="shared" si="1"/>
        <v>504</v>
      </c>
      <c r="I22" s="16">
        <f>+'5020'!I22</f>
        <v>19200</v>
      </c>
      <c r="J22">
        <f t="shared" si="2"/>
        <v>21600</v>
      </c>
      <c r="K22" s="10">
        <f>+'5020'!K22</f>
        <v>453</v>
      </c>
      <c r="L22" s="7">
        <f t="shared" si="3"/>
        <v>540</v>
      </c>
      <c r="N22" s="16">
        <f>+'5020'!N22</f>
        <v>21600</v>
      </c>
      <c r="O22">
        <f t="shared" si="4"/>
        <v>25920</v>
      </c>
      <c r="P22" s="10">
        <f>+'5020'!P22</f>
        <v>554</v>
      </c>
      <c r="Q22" s="7">
        <f t="shared" si="5"/>
        <v>648</v>
      </c>
      <c r="S22" s="16">
        <f>+'5020'!S22</f>
        <v>24000</v>
      </c>
      <c r="T22">
        <f t="shared" si="6"/>
        <v>29970</v>
      </c>
      <c r="U22" s="10">
        <f>+'5020'!U22</f>
        <v>702</v>
      </c>
      <c r="V22" s="7">
        <f t="shared" si="7"/>
        <v>749.25</v>
      </c>
      <c r="X22" s="16">
        <f>+'5020'!X22</f>
        <v>25950</v>
      </c>
      <c r="Y22">
        <f t="shared" si="8"/>
        <v>33420</v>
      </c>
      <c r="Z22" s="10">
        <f>+'5020'!Z22</f>
        <v>849</v>
      </c>
      <c r="AA22" s="7">
        <f t="shared" si="9"/>
        <v>835.5</v>
      </c>
      <c r="AB22" s="16">
        <f>+'5020'!AB22</f>
        <v>27850</v>
      </c>
      <c r="AC22" s="16">
        <f>+'5020'!AC22</f>
        <v>29800</v>
      </c>
      <c r="AE22">
        <f t="shared" si="10"/>
        <v>33720</v>
      </c>
      <c r="AF22" s="7">
        <f t="shared" si="11"/>
        <v>843</v>
      </c>
      <c r="AG22" s="16">
        <v>26400</v>
      </c>
    </row>
    <row r="23" spans="1:35">
      <c r="B23" s="190" t="s">
        <v>1647</v>
      </c>
      <c r="D23" s="16">
        <f>+'5020'!D23</f>
        <v>16800</v>
      </c>
      <c r="E23">
        <f t="shared" si="0"/>
        <v>20160</v>
      </c>
      <c r="F23" s="10">
        <f>+'5020'!F23</f>
        <v>510</v>
      </c>
      <c r="G23" s="7">
        <f t="shared" si="1"/>
        <v>504</v>
      </c>
      <c r="I23" s="16">
        <f>+'5020'!I23</f>
        <v>19200</v>
      </c>
      <c r="J23">
        <f t="shared" si="2"/>
        <v>21600</v>
      </c>
      <c r="K23" s="10">
        <f>+'5020'!K23</f>
        <v>519</v>
      </c>
      <c r="L23" s="7">
        <f t="shared" si="3"/>
        <v>540</v>
      </c>
      <c r="N23" s="16">
        <f>+'5020'!N23</f>
        <v>21600</v>
      </c>
      <c r="O23">
        <f t="shared" si="4"/>
        <v>25920</v>
      </c>
      <c r="P23" s="10">
        <f>+'5020'!P23</f>
        <v>614</v>
      </c>
      <c r="Q23" s="7">
        <f t="shared" si="5"/>
        <v>648</v>
      </c>
      <c r="S23" s="16">
        <f>+'5020'!S23</f>
        <v>24000</v>
      </c>
      <c r="T23">
        <f t="shared" si="6"/>
        <v>29970</v>
      </c>
      <c r="U23" s="10">
        <f>+'5020'!U23</f>
        <v>734</v>
      </c>
      <c r="V23" s="7">
        <f t="shared" si="7"/>
        <v>749.25</v>
      </c>
      <c r="X23" s="16">
        <f>+'5020'!X23</f>
        <v>25950</v>
      </c>
      <c r="Y23">
        <f t="shared" si="8"/>
        <v>33420</v>
      </c>
      <c r="Z23" s="10">
        <f>+'5020'!Z23</f>
        <v>803</v>
      </c>
      <c r="AA23" s="7">
        <f t="shared" si="9"/>
        <v>835.5</v>
      </c>
      <c r="AB23" s="16">
        <f>+'5020'!AB23</f>
        <v>27850</v>
      </c>
      <c r="AC23" s="16">
        <f>+'5020'!AC23</f>
        <v>29800</v>
      </c>
      <c r="AE23">
        <f t="shared" si="10"/>
        <v>33810</v>
      </c>
      <c r="AF23" s="7">
        <f t="shared" si="11"/>
        <v>845.25</v>
      </c>
      <c r="AG23" s="16">
        <v>26550</v>
      </c>
    </row>
    <row r="24" spans="1:35">
      <c r="A24" s="11"/>
      <c r="B24" s="190" t="s">
        <v>1648</v>
      </c>
      <c r="C24" s="11"/>
      <c r="D24" s="16">
        <f>+'5020'!D24</f>
        <v>16800</v>
      </c>
      <c r="E24" s="11">
        <f t="shared" si="0"/>
        <v>20160</v>
      </c>
      <c r="F24" s="10">
        <f>+'5020'!F24</f>
        <v>420</v>
      </c>
      <c r="G24" s="7">
        <f t="shared" si="1"/>
        <v>504</v>
      </c>
      <c r="H24" s="11"/>
      <c r="I24" s="16">
        <f>+'5020'!I24</f>
        <v>19200</v>
      </c>
      <c r="J24" s="11">
        <f t="shared" si="2"/>
        <v>21600</v>
      </c>
      <c r="K24" s="10">
        <f>+'5020'!K24</f>
        <v>453</v>
      </c>
      <c r="L24" s="7">
        <f t="shared" si="3"/>
        <v>540</v>
      </c>
      <c r="M24" s="11"/>
      <c r="N24" s="16">
        <f>+'5020'!N24</f>
        <v>21600</v>
      </c>
      <c r="O24" s="11">
        <f t="shared" si="4"/>
        <v>25920</v>
      </c>
      <c r="P24" s="10">
        <f>+'5020'!P24</f>
        <v>554</v>
      </c>
      <c r="Q24" s="7">
        <f t="shared" si="5"/>
        <v>648</v>
      </c>
      <c r="R24" s="11"/>
      <c r="S24" s="16">
        <f>+'5020'!S24</f>
        <v>24000</v>
      </c>
      <c r="T24" s="11">
        <f t="shared" si="6"/>
        <v>29970</v>
      </c>
      <c r="U24" s="10">
        <f>+'5020'!U24</f>
        <v>718</v>
      </c>
      <c r="V24" s="7">
        <f t="shared" si="7"/>
        <v>749.25</v>
      </c>
      <c r="W24" s="11"/>
      <c r="X24" s="16">
        <f>+'5020'!X24</f>
        <v>25950</v>
      </c>
      <c r="Y24" s="11">
        <f t="shared" si="8"/>
        <v>33420</v>
      </c>
      <c r="Z24" s="10">
        <f>+'5020'!Z24</f>
        <v>849</v>
      </c>
      <c r="AA24" s="7">
        <f t="shared" si="9"/>
        <v>835.5</v>
      </c>
      <c r="AB24" s="16">
        <f>+'5020'!AB24</f>
        <v>27850</v>
      </c>
      <c r="AC24" s="16">
        <f>+'5020'!AC24</f>
        <v>29800</v>
      </c>
      <c r="AD24" s="11"/>
      <c r="AE24" s="11">
        <f t="shared" si="10"/>
        <v>33720</v>
      </c>
      <c r="AF24" s="12">
        <f t="shared" si="11"/>
        <v>843</v>
      </c>
      <c r="AG24" s="16">
        <v>26400</v>
      </c>
      <c r="AH24" s="11"/>
      <c r="AI24" s="11"/>
    </row>
    <row r="25" spans="1:35">
      <c r="B25" s="190" t="s">
        <v>1649</v>
      </c>
      <c r="D25" s="16">
        <f>+'5020'!D25</f>
        <v>19450</v>
      </c>
      <c r="E25">
        <f t="shared" si="0"/>
        <v>23340</v>
      </c>
      <c r="F25" s="10">
        <f>+'5020'!F25</f>
        <v>552</v>
      </c>
      <c r="G25" s="7">
        <f t="shared" si="1"/>
        <v>583.5</v>
      </c>
      <c r="I25" s="16">
        <f>+'5020'!I25</f>
        <v>22200</v>
      </c>
      <c r="J25">
        <f t="shared" si="2"/>
        <v>24990</v>
      </c>
      <c r="K25" s="10">
        <f>+'5020'!K25</f>
        <v>635</v>
      </c>
      <c r="L25" s="7">
        <f t="shared" si="3"/>
        <v>624.75</v>
      </c>
      <c r="N25" s="16">
        <f>+'5020'!N25</f>
        <v>25000</v>
      </c>
      <c r="O25">
        <f t="shared" si="4"/>
        <v>30000</v>
      </c>
      <c r="P25" s="10">
        <f>+'5020'!P25</f>
        <v>742</v>
      </c>
      <c r="Q25" s="7">
        <f t="shared" si="5"/>
        <v>750</v>
      </c>
      <c r="S25" s="16">
        <f>+'5020'!S25</f>
        <v>27750</v>
      </c>
      <c r="T25">
        <f t="shared" si="6"/>
        <v>34650</v>
      </c>
      <c r="U25" s="10">
        <f>+'5020'!U25</f>
        <v>942</v>
      </c>
      <c r="V25" s="7">
        <f t="shared" si="7"/>
        <v>866.25</v>
      </c>
      <c r="X25" s="16">
        <f>+'5020'!X25</f>
        <v>30000</v>
      </c>
      <c r="Y25">
        <f t="shared" si="8"/>
        <v>38640</v>
      </c>
      <c r="Z25" s="10">
        <f>+'5020'!Z25</f>
        <v>971</v>
      </c>
      <c r="AA25" s="7">
        <f t="shared" si="9"/>
        <v>966</v>
      </c>
      <c r="AB25" s="16">
        <f>+'5020'!AB25</f>
        <v>32200</v>
      </c>
      <c r="AC25" s="16">
        <f>+'5020'!AC25</f>
        <v>34450</v>
      </c>
      <c r="AE25">
        <f t="shared" si="10"/>
        <v>40320</v>
      </c>
      <c r="AF25" s="7">
        <f t="shared" si="11"/>
        <v>1008</v>
      </c>
      <c r="AG25" s="16">
        <v>32750</v>
      </c>
    </row>
    <row r="26" spans="1:35">
      <c r="B26" s="190" t="s">
        <v>866</v>
      </c>
      <c r="D26" s="16">
        <f>+'5020'!D26</f>
        <v>22650</v>
      </c>
      <c r="E26">
        <f t="shared" si="0"/>
        <v>27180</v>
      </c>
      <c r="F26" s="10">
        <f>+'5020'!F26</f>
        <v>638</v>
      </c>
      <c r="G26" s="7">
        <f t="shared" si="1"/>
        <v>679.5</v>
      </c>
      <c r="I26" s="16">
        <f>+'5020'!I26</f>
        <v>25850</v>
      </c>
      <c r="J26">
        <f t="shared" si="2"/>
        <v>29100</v>
      </c>
      <c r="K26" s="10">
        <f>+'5020'!K26</f>
        <v>694</v>
      </c>
      <c r="L26" s="7">
        <f t="shared" si="3"/>
        <v>727.5</v>
      </c>
      <c r="N26" s="16">
        <f>+'5020'!N26</f>
        <v>29100</v>
      </c>
      <c r="O26">
        <f t="shared" si="4"/>
        <v>34920</v>
      </c>
      <c r="P26" s="10">
        <f>+'5020'!P26</f>
        <v>801</v>
      </c>
      <c r="Q26" s="7">
        <f t="shared" si="5"/>
        <v>873</v>
      </c>
      <c r="S26" s="16">
        <f>+'5020'!S26</f>
        <v>32300</v>
      </c>
      <c r="T26">
        <f t="shared" si="6"/>
        <v>40320</v>
      </c>
      <c r="U26" s="10">
        <f>+'5020'!U26</f>
        <v>1021</v>
      </c>
      <c r="V26" s="7">
        <f t="shared" si="7"/>
        <v>1008</v>
      </c>
      <c r="X26" s="16">
        <f>+'5020'!X26</f>
        <v>34900</v>
      </c>
      <c r="Y26">
        <f t="shared" si="8"/>
        <v>45000</v>
      </c>
      <c r="Z26" s="10">
        <f>+'5020'!Z26</f>
        <v>1123</v>
      </c>
      <c r="AA26" s="7">
        <f t="shared" si="9"/>
        <v>1125</v>
      </c>
      <c r="AB26" s="16">
        <f>+'5020'!AB26</f>
        <v>37500</v>
      </c>
      <c r="AC26" s="16">
        <f>+'5020'!AC26</f>
        <v>40100</v>
      </c>
      <c r="AE26">
        <f t="shared" si="10"/>
        <v>46290</v>
      </c>
      <c r="AF26" s="7">
        <f t="shared" si="11"/>
        <v>1157.25</v>
      </c>
      <c r="AG26" s="16">
        <v>37050</v>
      </c>
    </row>
    <row r="27" spans="1:35">
      <c r="B27" s="190" t="s">
        <v>867</v>
      </c>
      <c r="D27" s="16">
        <f>+'5020'!D27</f>
        <v>16800</v>
      </c>
      <c r="E27">
        <f t="shared" si="0"/>
        <v>20160</v>
      </c>
      <c r="F27" s="10">
        <f>+'5020'!F27</f>
        <v>437</v>
      </c>
      <c r="G27" s="7">
        <f t="shared" si="1"/>
        <v>504</v>
      </c>
      <c r="I27" s="16">
        <f>+'5020'!I27</f>
        <v>19200</v>
      </c>
      <c r="J27">
        <f t="shared" si="2"/>
        <v>21600</v>
      </c>
      <c r="K27" s="10">
        <f>+'5020'!K27</f>
        <v>467</v>
      </c>
      <c r="L27" s="7">
        <f t="shared" si="3"/>
        <v>540</v>
      </c>
      <c r="N27" s="16">
        <f>+'5020'!N27</f>
        <v>21600</v>
      </c>
      <c r="O27">
        <f t="shared" si="4"/>
        <v>25920</v>
      </c>
      <c r="P27" s="10">
        <f>+'5020'!P27</f>
        <v>554</v>
      </c>
      <c r="Q27" s="7">
        <f t="shared" si="5"/>
        <v>648</v>
      </c>
      <c r="S27" s="16">
        <f>+'5020'!S27</f>
        <v>24000</v>
      </c>
      <c r="T27">
        <f t="shared" si="6"/>
        <v>29970</v>
      </c>
      <c r="U27" s="10">
        <f>+'5020'!U27</f>
        <v>701</v>
      </c>
      <c r="V27" s="7">
        <f t="shared" si="7"/>
        <v>749.25</v>
      </c>
      <c r="X27" s="16">
        <f>+'5020'!X27</f>
        <v>25950</v>
      </c>
      <c r="Y27">
        <f t="shared" si="8"/>
        <v>33420</v>
      </c>
      <c r="Z27" s="10">
        <f>+'5020'!Z27</f>
        <v>782</v>
      </c>
      <c r="AA27" s="7">
        <f t="shared" si="9"/>
        <v>835.5</v>
      </c>
      <c r="AB27" s="16">
        <f>+'5020'!AB27</f>
        <v>27850</v>
      </c>
      <c r="AC27" s="16">
        <f>+'5020'!AC27</f>
        <v>29800</v>
      </c>
      <c r="AE27">
        <f t="shared" si="10"/>
        <v>33720</v>
      </c>
      <c r="AF27" s="7">
        <f t="shared" si="11"/>
        <v>843</v>
      </c>
      <c r="AG27" s="16">
        <v>26400</v>
      </c>
    </row>
    <row r="28" spans="1:35">
      <c r="B28" s="190" t="s">
        <v>868</v>
      </c>
      <c r="D28" s="16">
        <f>+'5020'!D28</f>
        <v>22650</v>
      </c>
      <c r="E28">
        <f t="shared" si="0"/>
        <v>27180</v>
      </c>
      <c r="F28" s="10">
        <f>+'5020'!F28</f>
        <v>638</v>
      </c>
      <c r="G28" s="7">
        <f t="shared" si="1"/>
        <v>679.5</v>
      </c>
      <c r="I28" s="16">
        <f>+'5020'!I28</f>
        <v>25850</v>
      </c>
      <c r="J28">
        <f t="shared" si="2"/>
        <v>29100</v>
      </c>
      <c r="K28" s="10">
        <f>+'5020'!K28</f>
        <v>694</v>
      </c>
      <c r="L28" s="7">
        <f t="shared" si="3"/>
        <v>727.5</v>
      </c>
      <c r="N28" s="16">
        <f>+'5020'!N28</f>
        <v>29100</v>
      </c>
      <c r="O28">
        <f t="shared" si="4"/>
        <v>34920</v>
      </c>
      <c r="P28" s="10">
        <f>+'5020'!P28</f>
        <v>801</v>
      </c>
      <c r="Q28" s="7">
        <f t="shared" si="5"/>
        <v>873</v>
      </c>
      <c r="S28" s="16">
        <f>+'5020'!S28</f>
        <v>32300</v>
      </c>
      <c r="T28">
        <f t="shared" si="6"/>
        <v>40320</v>
      </c>
      <c r="U28" s="10">
        <f>+'5020'!U28</f>
        <v>1021</v>
      </c>
      <c r="V28" s="7">
        <f t="shared" si="7"/>
        <v>1008</v>
      </c>
      <c r="X28" s="16">
        <f>+'5020'!X28</f>
        <v>34900</v>
      </c>
      <c r="Y28">
        <f t="shared" si="8"/>
        <v>45000</v>
      </c>
      <c r="Z28" s="10">
        <f>+'5020'!Z28</f>
        <v>1123</v>
      </c>
      <c r="AA28" s="7">
        <f t="shared" si="9"/>
        <v>1125</v>
      </c>
      <c r="AB28" s="16">
        <f>+'5020'!AB28</f>
        <v>37500</v>
      </c>
      <c r="AC28" s="16">
        <f>+'5020'!AC28</f>
        <v>40100</v>
      </c>
      <c r="AE28">
        <f t="shared" si="10"/>
        <v>46290</v>
      </c>
      <c r="AF28" s="7">
        <f t="shared" si="11"/>
        <v>1157.25</v>
      </c>
      <c r="AG28" s="16">
        <v>37050</v>
      </c>
    </row>
    <row r="29" spans="1:35">
      <c r="A29" s="11"/>
      <c r="B29" s="190" t="s">
        <v>1650</v>
      </c>
      <c r="C29" s="11"/>
      <c r="D29" s="16">
        <f>+'5020'!D29</f>
        <v>16800</v>
      </c>
      <c r="E29" s="11">
        <f t="shared" si="0"/>
        <v>20160</v>
      </c>
      <c r="F29" s="10">
        <f>+'5020'!F29</f>
        <v>458</v>
      </c>
      <c r="G29" s="7">
        <f t="shared" si="1"/>
        <v>504</v>
      </c>
      <c r="H29" s="11"/>
      <c r="I29" s="16">
        <f>+'5020'!I29</f>
        <v>19200</v>
      </c>
      <c r="J29" s="11">
        <f t="shared" si="2"/>
        <v>21600</v>
      </c>
      <c r="K29" s="10">
        <f>+'5020'!K29</f>
        <v>460</v>
      </c>
      <c r="L29" s="7">
        <f t="shared" si="3"/>
        <v>540</v>
      </c>
      <c r="M29" s="11"/>
      <c r="N29" s="16">
        <f>+'5020'!N29</f>
        <v>21600</v>
      </c>
      <c r="O29" s="11">
        <f t="shared" si="4"/>
        <v>25920</v>
      </c>
      <c r="P29" s="10">
        <f>+'5020'!P29</f>
        <v>554</v>
      </c>
      <c r="Q29" s="7">
        <f t="shared" si="5"/>
        <v>648</v>
      </c>
      <c r="R29" s="11"/>
      <c r="S29" s="16">
        <f>+'5020'!S29</f>
        <v>24000</v>
      </c>
      <c r="T29" s="11">
        <f t="shared" si="6"/>
        <v>29970</v>
      </c>
      <c r="U29" s="10">
        <f>+'5020'!U29</f>
        <v>710</v>
      </c>
      <c r="V29" s="7">
        <f t="shared" si="7"/>
        <v>749.25</v>
      </c>
      <c r="W29" s="11"/>
      <c r="X29" s="16">
        <f>+'5020'!X29</f>
        <v>25950</v>
      </c>
      <c r="Y29" s="11">
        <f t="shared" si="8"/>
        <v>33420</v>
      </c>
      <c r="Z29" s="10">
        <f>+'5020'!Z29</f>
        <v>730</v>
      </c>
      <c r="AA29" s="7">
        <f t="shared" si="9"/>
        <v>835.5</v>
      </c>
      <c r="AB29" s="16">
        <f>+'5020'!AB29</f>
        <v>27850</v>
      </c>
      <c r="AC29" s="16">
        <f>+'5020'!AC29</f>
        <v>29800</v>
      </c>
      <c r="AD29" s="11"/>
      <c r="AE29" s="11">
        <f t="shared" si="10"/>
        <v>33720</v>
      </c>
      <c r="AF29" s="12">
        <f t="shared" si="11"/>
        <v>843</v>
      </c>
      <c r="AG29" s="16">
        <v>26400</v>
      </c>
      <c r="AH29" s="11"/>
      <c r="AI29" s="11"/>
    </row>
    <row r="30" spans="1:35">
      <c r="B30" s="190" t="s">
        <v>1651</v>
      </c>
      <c r="D30" s="16">
        <f>+'5020'!D30</f>
        <v>16800</v>
      </c>
      <c r="E30">
        <f t="shared" si="0"/>
        <v>20160</v>
      </c>
      <c r="F30" s="10">
        <f>+'5020'!F30</f>
        <v>437</v>
      </c>
      <c r="G30" s="7">
        <f t="shared" si="1"/>
        <v>504</v>
      </c>
      <c r="I30" s="16">
        <f>+'5020'!I30</f>
        <v>19200</v>
      </c>
      <c r="J30">
        <f t="shared" si="2"/>
        <v>21600</v>
      </c>
      <c r="K30" s="10">
        <f>+'5020'!K30</f>
        <v>467</v>
      </c>
      <c r="L30" s="7">
        <f t="shared" si="3"/>
        <v>540</v>
      </c>
      <c r="N30" s="16">
        <f>+'5020'!N30</f>
        <v>21600</v>
      </c>
      <c r="O30">
        <f t="shared" si="4"/>
        <v>25920</v>
      </c>
      <c r="P30" s="10">
        <f>+'5020'!P30</f>
        <v>554</v>
      </c>
      <c r="Q30" s="7">
        <f t="shared" si="5"/>
        <v>648</v>
      </c>
      <c r="S30" s="16">
        <f>+'5020'!S30</f>
        <v>24000</v>
      </c>
      <c r="T30">
        <f t="shared" si="6"/>
        <v>29970</v>
      </c>
      <c r="U30" s="10">
        <f>+'5020'!U30</f>
        <v>701</v>
      </c>
      <c r="V30" s="7">
        <f t="shared" si="7"/>
        <v>749.25</v>
      </c>
      <c r="X30" s="16">
        <f>+'5020'!X30</f>
        <v>25950</v>
      </c>
      <c r="Y30">
        <f t="shared" si="8"/>
        <v>33420</v>
      </c>
      <c r="Z30" s="10">
        <f>+'5020'!Z30</f>
        <v>782</v>
      </c>
      <c r="AA30" s="7">
        <f t="shared" si="9"/>
        <v>835.5</v>
      </c>
      <c r="AB30" s="16">
        <f>+'5020'!AB30</f>
        <v>27850</v>
      </c>
      <c r="AC30" s="16">
        <f>+'5020'!AC30</f>
        <v>29800</v>
      </c>
      <c r="AE30">
        <f t="shared" si="10"/>
        <v>33720</v>
      </c>
      <c r="AF30" s="7">
        <f t="shared" si="11"/>
        <v>843</v>
      </c>
      <c r="AG30" s="16">
        <v>26400</v>
      </c>
    </row>
    <row r="31" spans="1:35">
      <c r="B31" s="190" t="s">
        <v>1652</v>
      </c>
      <c r="D31" s="16">
        <f>+'5020'!D31</f>
        <v>18400</v>
      </c>
      <c r="E31">
        <f t="shared" si="0"/>
        <v>22080</v>
      </c>
      <c r="F31" s="10">
        <f>+'5020'!F31</f>
        <v>493</v>
      </c>
      <c r="G31" s="7">
        <f t="shared" si="1"/>
        <v>552</v>
      </c>
      <c r="I31" s="16">
        <f>+'5020'!I31</f>
        <v>21000</v>
      </c>
      <c r="J31">
        <f t="shared" si="2"/>
        <v>23640</v>
      </c>
      <c r="K31" s="10">
        <f>+'5020'!K31</f>
        <v>533</v>
      </c>
      <c r="L31" s="7">
        <f t="shared" si="3"/>
        <v>591</v>
      </c>
      <c r="N31" s="16">
        <f>+'5020'!N31</f>
        <v>23650</v>
      </c>
      <c r="O31">
        <f t="shared" si="4"/>
        <v>28380</v>
      </c>
      <c r="P31" s="10">
        <f>+'5020'!P31</f>
        <v>635</v>
      </c>
      <c r="Q31" s="7">
        <f t="shared" si="5"/>
        <v>709.5</v>
      </c>
      <c r="S31" s="16">
        <f>+'5020'!S31</f>
        <v>26250</v>
      </c>
      <c r="T31">
        <f t="shared" si="6"/>
        <v>32760</v>
      </c>
      <c r="U31" s="10">
        <f>+'5020'!U31</f>
        <v>826</v>
      </c>
      <c r="V31" s="7">
        <f t="shared" si="7"/>
        <v>819</v>
      </c>
      <c r="X31" s="16">
        <f>+'5020'!X31</f>
        <v>28350</v>
      </c>
      <c r="Y31">
        <f t="shared" si="8"/>
        <v>36540</v>
      </c>
      <c r="Z31" s="10">
        <f>+'5020'!Z31</f>
        <v>850</v>
      </c>
      <c r="AA31" s="7">
        <f t="shared" si="9"/>
        <v>913.5</v>
      </c>
      <c r="AB31" s="16">
        <f>+'5020'!AB31</f>
        <v>30450</v>
      </c>
      <c r="AC31" s="16">
        <f>+'5020'!AC31</f>
        <v>32550</v>
      </c>
      <c r="AE31">
        <f t="shared" si="10"/>
        <v>37320</v>
      </c>
      <c r="AF31" s="7">
        <f t="shared" si="11"/>
        <v>933</v>
      </c>
      <c r="AG31" s="16">
        <v>29650</v>
      </c>
    </row>
    <row r="32" spans="1:35">
      <c r="B32" s="190" t="s">
        <v>1653</v>
      </c>
      <c r="D32" s="16">
        <f>+'5020'!D32</f>
        <v>17650</v>
      </c>
      <c r="E32">
        <f t="shared" si="0"/>
        <v>21180</v>
      </c>
      <c r="F32" s="10">
        <f>+'5020'!F32</f>
        <v>526</v>
      </c>
      <c r="G32" s="7">
        <f t="shared" si="1"/>
        <v>529.5</v>
      </c>
      <c r="I32" s="16">
        <f>+'5020'!I32</f>
        <v>20200</v>
      </c>
      <c r="J32">
        <f t="shared" si="2"/>
        <v>22710</v>
      </c>
      <c r="K32" s="10">
        <f>+'5020'!K32</f>
        <v>539</v>
      </c>
      <c r="L32" s="7">
        <f t="shared" si="3"/>
        <v>567.75</v>
      </c>
      <c r="N32" s="16">
        <f>+'5020'!N32</f>
        <v>22700</v>
      </c>
      <c r="O32">
        <f t="shared" si="4"/>
        <v>27240</v>
      </c>
      <c r="P32" s="10">
        <f>+'5020'!P32</f>
        <v>636</v>
      </c>
      <c r="Q32" s="7">
        <f t="shared" si="5"/>
        <v>681</v>
      </c>
      <c r="S32" s="16">
        <f>+'5020'!S32</f>
        <v>25200</v>
      </c>
      <c r="T32">
        <f t="shared" si="6"/>
        <v>31470</v>
      </c>
      <c r="U32" s="10">
        <f>+'5020'!U32</f>
        <v>785</v>
      </c>
      <c r="V32" s="7">
        <f t="shared" si="7"/>
        <v>786.75</v>
      </c>
      <c r="X32" s="16">
        <f>+'5020'!X32</f>
        <v>27250</v>
      </c>
      <c r="Y32">
        <f t="shared" si="8"/>
        <v>35100</v>
      </c>
      <c r="Z32" s="10">
        <f>+'5020'!Z32</f>
        <v>916</v>
      </c>
      <c r="AA32" s="7">
        <f t="shared" si="9"/>
        <v>877.5</v>
      </c>
      <c r="AB32" s="16">
        <f>+'5020'!AB32</f>
        <v>29250</v>
      </c>
      <c r="AC32" s="16">
        <f>+'5020'!AC32</f>
        <v>31250</v>
      </c>
      <c r="AE32">
        <f t="shared" si="10"/>
        <v>36180</v>
      </c>
      <c r="AF32" s="7">
        <f t="shared" si="11"/>
        <v>904.5</v>
      </c>
      <c r="AG32" s="16">
        <v>29050</v>
      </c>
    </row>
    <row r="33" spans="1:35">
      <c r="B33" s="190" t="s">
        <v>1654</v>
      </c>
      <c r="D33" s="16">
        <f>+'5020'!D33</f>
        <v>19100</v>
      </c>
      <c r="E33">
        <f t="shared" si="0"/>
        <v>22920</v>
      </c>
      <c r="F33" s="10">
        <f>+'5020'!F33</f>
        <v>499</v>
      </c>
      <c r="G33" s="7">
        <f t="shared" si="1"/>
        <v>573</v>
      </c>
      <c r="I33" s="16">
        <f>+'5020'!I33</f>
        <v>21800</v>
      </c>
      <c r="J33">
        <f t="shared" si="2"/>
        <v>24540</v>
      </c>
      <c r="K33" s="10">
        <f>+'5020'!K33</f>
        <v>500</v>
      </c>
      <c r="L33" s="7">
        <f t="shared" si="3"/>
        <v>613.5</v>
      </c>
      <c r="N33" s="16">
        <f>+'5020'!N33</f>
        <v>24550</v>
      </c>
      <c r="O33">
        <f t="shared" si="4"/>
        <v>29460</v>
      </c>
      <c r="P33" s="10">
        <f>+'5020'!P33</f>
        <v>602</v>
      </c>
      <c r="Q33" s="7">
        <f t="shared" si="5"/>
        <v>736.5</v>
      </c>
      <c r="S33" s="16">
        <f>+'5020'!S33</f>
        <v>27250</v>
      </c>
      <c r="T33">
        <f t="shared" si="6"/>
        <v>34020</v>
      </c>
      <c r="U33" s="10">
        <f>+'5020'!U33</f>
        <v>815</v>
      </c>
      <c r="V33" s="7">
        <f t="shared" si="7"/>
        <v>850.5</v>
      </c>
      <c r="X33" s="16">
        <f>+'5020'!X33</f>
        <v>29450</v>
      </c>
      <c r="Y33">
        <f t="shared" si="8"/>
        <v>37980</v>
      </c>
      <c r="Z33" s="10">
        <f>+'5020'!Z33</f>
        <v>840</v>
      </c>
      <c r="AA33" s="7">
        <f t="shared" si="9"/>
        <v>949.5</v>
      </c>
      <c r="AB33" s="16">
        <f>+'5020'!AB33</f>
        <v>31650</v>
      </c>
      <c r="AC33" s="16">
        <f>+'5020'!AC33</f>
        <v>33800</v>
      </c>
      <c r="AE33">
        <f t="shared" si="10"/>
        <v>36780</v>
      </c>
      <c r="AF33" s="7">
        <f t="shared" si="11"/>
        <v>919.5</v>
      </c>
      <c r="AG33" s="16">
        <v>27500</v>
      </c>
    </row>
    <row r="34" spans="1:35">
      <c r="A34" s="11"/>
      <c r="B34" s="190" t="s">
        <v>1655</v>
      </c>
      <c r="C34" s="11"/>
      <c r="D34" s="16">
        <f>+'5020'!D34</f>
        <v>18650</v>
      </c>
      <c r="E34" s="11">
        <f t="shared" si="0"/>
        <v>22380</v>
      </c>
      <c r="F34" s="10">
        <f>+'5020'!F34</f>
        <v>437</v>
      </c>
      <c r="G34" s="7">
        <f t="shared" si="1"/>
        <v>559.5</v>
      </c>
      <c r="H34" s="11"/>
      <c r="I34" s="16">
        <f>+'5020'!I34</f>
        <v>21300</v>
      </c>
      <c r="J34" s="11">
        <f t="shared" si="2"/>
        <v>23970</v>
      </c>
      <c r="K34" s="10">
        <f>+'5020'!K34</f>
        <v>467</v>
      </c>
      <c r="L34" s="7">
        <f t="shared" si="3"/>
        <v>599.25</v>
      </c>
      <c r="M34" s="11"/>
      <c r="N34" s="16">
        <f>+'5020'!N34</f>
        <v>23950</v>
      </c>
      <c r="O34" s="11">
        <f t="shared" si="4"/>
        <v>28740</v>
      </c>
      <c r="P34" s="10">
        <f>+'5020'!P34</f>
        <v>554</v>
      </c>
      <c r="Q34" s="7">
        <f t="shared" si="5"/>
        <v>718.5</v>
      </c>
      <c r="R34" s="11"/>
      <c r="S34" s="16">
        <f>+'5020'!S34</f>
        <v>26600</v>
      </c>
      <c r="T34" s="11">
        <f t="shared" si="6"/>
        <v>33210</v>
      </c>
      <c r="U34" s="10">
        <f>+'5020'!U34</f>
        <v>701</v>
      </c>
      <c r="V34" s="7">
        <f t="shared" si="7"/>
        <v>830.25</v>
      </c>
      <c r="W34" s="11"/>
      <c r="X34" s="16">
        <f>+'5020'!X34</f>
        <v>28750</v>
      </c>
      <c r="Y34" s="11">
        <f t="shared" si="8"/>
        <v>37080</v>
      </c>
      <c r="Z34" s="10">
        <f>+'5020'!Z34</f>
        <v>782</v>
      </c>
      <c r="AA34" s="7">
        <f t="shared" si="9"/>
        <v>927</v>
      </c>
      <c r="AB34" s="16">
        <f>+'5020'!AB34</f>
        <v>30900</v>
      </c>
      <c r="AC34" s="16">
        <f>+'5020'!AC34</f>
        <v>33000</v>
      </c>
      <c r="AD34" s="11"/>
      <c r="AE34" s="11">
        <f t="shared" si="10"/>
        <v>37290</v>
      </c>
      <c r="AF34" s="12">
        <f t="shared" si="11"/>
        <v>932.25</v>
      </c>
      <c r="AG34" s="16">
        <v>29150</v>
      </c>
      <c r="AH34" s="11"/>
      <c r="AI34" s="11"/>
    </row>
    <row r="35" spans="1:35">
      <c r="B35" s="190" t="s">
        <v>1656</v>
      </c>
      <c r="D35" s="16">
        <f>+'5020'!D35</f>
        <v>21150</v>
      </c>
      <c r="E35">
        <f t="shared" si="0"/>
        <v>25380</v>
      </c>
      <c r="F35" s="10">
        <f>+'5020'!F35</f>
        <v>767</v>
      </c>
      <c r="G35" s="7">
        <f t="shared" si="1"/>
        <v>634.5</v>
      </c>
      <c r="I35" s="16">
        <f>+'5020'!I35</f>
        <v>24150</v>
      </c>
      <c r="J35">
        <f t="shared" si="2"/>
        <v>27180</v>
      </c>
      <c r="K35" s="10">
        <f>+'5020'!K35</f>
        <v>850</v>
      </c>
      <c r="L35" s="7">
        <f t="shared" si="3"/>
        <v>679.5</v>
      </c>
      <c r="N35" s="16">
        <f>+'5020'!N35</f>
        <v>27150</v>
      </c>
      <c r="O35">
        <f t="shared" si="4"/>
        <v>32580</v>
      </c>
      <c r="P35" s="10">
        <f>+'5020'!P35</f>
        <v>994</v>
      </c>
      <c r="Q35" s="7">
        <f t="shared" si="5"/>
        <v>814.5</v>
      </c>
      <c r="S35" s="16">
        <f>+'5020'!S35</f>
        <v>30150</v>
      </c>
      <c r="T35">
        <f t="shared" si="6"/>
        <v>37650</v>
      </c>
      <c r="U35" s="10">
        <f>+'5020'!U35</f>
        <v>1276</v>
      </c>
      <c r="V35" s="7">
        <f t="shared" si="7"/>
        <v>941.25</v>
      </c>
      <c r="X35" s="16">
        <f>+'5020'!X35</f>
        <v>32600</v>
      </c>
      <c r="Y35">
        <f t="shared" si="8"/>
        <v>42000</v>
      </c>
      <c r="Z35" s="10">
        <f>+'5020'!Z35</f>
        <v>1319</v>
      </c>
      <c r="AA35" s="7">
        <f t="shared" si="9"/>
        <v>1050</v>
      </c>
      <c r="AB35" s="16">
        <f>+'5020'!AB35</f>
        <v>35000</v>
      </c>
      <c r="AC35" s="16">
        <f>+'5020'!AC35</f>
        <v>37400</v>
      </c>
      <c r="AE35">
        <f t="shared" si="10"/>
        <v>43140</v>
      </c>
      <c r="AF35" s="7">
        <f t="shared" si="11"/>
        <v>1078.5</v>
      </c>
      <c r="AG35" s="16">
        <v>34500</v>
      </c>
    </row>
    <row r="36" spans="1:35">
      <c r="B36" s="190" t="s">
        <v>1657</v>
      </c>
      <c r="D36" s="16">
        <f>+'5020'!D36</f>
        <v>18100</v>
      </c>
      <c r="E36">
        <f t="shared" si="0"/>
        <v>21720</v>
      </c>
      <c r="F36" s="10">
        <f>+'5020'!F36</f>
        <v>460</v>
      </c>
      <c r="G36" s="7">
        <f t="shared" si="1"/>
        <v>543</v>
      </c>
      <c r="I36" s="16">
        <f>+'5020'!I36</f>
        <v>20700</v>
      </c>
      <c r="J36">
        <f t="shared" si="2"/>
        <v>23280</v>
      </c>
      <c r="K36" s="10">
        <f>+'5020'!K36</f>
        <v>461</v>
      </c>
      <c r="L36" s="7">
        <f t="shared" si="3"/>
        <v>582</v>
      </c>
      <c r="N36" s="16">
        <f>+'5020'!N36</f>
        <v>23300</v>
      </c>
      <c r="O36">
        <f t="shared" si="4"/>
        <v>27960</v>
      </c>
      <c r="P36" s="10">
        <f>+'5020'!P36</f>
        <v>554</v>
      </c>
      <c r="Q36" s="7">
        <f t="shared" si="5"/>
        <v>699</v>
      </c>
      <c r="S36" s="16">
        <f>+'5020'!S36</f>
        <v>25850</v>
      </c>
      <c r="T36">
        <f t="shared" si="6"/>
        <v>32280</v>
      </c>
      <c r="U36" s="10">
        <f>+'5020'!U36</f>
        <v>701</v>
      </c>
      <c r="V36" s="7">
        <f t="shared" si="7"/>
        <v>807</v>
      </c>
      <c r="X36" s="16">
        <f>+'5020'!X36</f>
        <v>27950</v>
      </c>
      <c r="Y36">
        <f t="shared" si="8"/>
        <v>36000</v>
      </c>
      <c r="Z36" s="10">
        <f>+'5020'!Z36</f>
        <v>720</v>
      </c>
      <c r="AA36" s="7">
        <f t="shared" si="9"/>
        <v>900</v>
      </c>
      <c r="AB36" s="16">
        <f>+'5020'!AB36</f>
        <v>30000</v>
      </c>
      <c r="AC36" s="16">
        <f>+'5020'!AC36</f>
        <v>32100</v>
      </c>
      <c r="AE36">
        <f t="shared" si="10"/>
        <v>35430</v>
      </c>
      <c r="AF36" s="7">
        <f t="shared" si="11"/>
        <v>885.75</v>
      </c>
      <c r="AG36" s="16">
        <v>26950</v>
      </c>
    </row>
    <row r="37" spans="1:35">
      <c r="B37" s="190" t="s">
        <v>1397</v>
      </c>
      <c r="D37" s="16">
        <f>+'5020'!D37</f>
        <v>21750</v>
      </c>
      <c r="E37">
        <f t="shared" si="0"/>
        <v>26100</v>
      </c>
      <c r="F37" s="10">
        <f>+'5020'!F37</f>
        <v>570</v>
      </c>
      <c r="G37" s="7">
        <f t="shared" si="1"/>
        <v>652.5</v>
      </c>
      <c r="I37" s="16">
        <f>+'5020'!I37</f>
        <v>24850</v>
      </c>
      <c r="J37">
        <f t="shared" si="2"/>
        <v>27960</v>
      </c>
      <c r="K37" s="10">
        <f>+'5020'!K37</f>
        <v>654</v>
      </c>
      <c r="L37" s="7">
        <f t="shared" si="3"/>
        <v>699</v>
      </c>
      <c r="N37" s="16">
        <f>+'5020'!N37</f>
        <v>27950</v>
      </c>
      <c r="O37">
        <f t="shared" si="4"/>
        <v>33540</v>
      </c>
      <c r="P37" s="10">
        <f>+'5020'!P37</f>
        <v>725</v>
      </c>
      <c r="Q37" s="7">
        <f t="shared" si="5"/>
        <v>838.5</v>
      </c>
      <c r="S37" s="16">
        <f>+'5020'!S37</f>
        <v>31050</v>
      </c>
      <c r="T37">
        <f t="shared" si="6"/>
        <v>38760</v>
      </c>
      <c r="U37" s="10">
        <f>+'5020'!U37</f>
        <v>930</v>
      </c>
      <c r="V37" s="7">
        <f t="shared" si="7"/>
        <v>969</v>
      </c>
      <c r="X37" s="16">
        <f>+'5020'!X37</f>
        <v>33550</v>
      </c>
      <c r="Y37">
        <f t="shared" si="8"/>
        <v>43260</v>
      </c>
      <c r="Z37" s="10">
        <f>+'5020'!Z37</f>
        <v>1180</v>
      </c>
      <c r="AA37" s="7">
        <f t="shared" si="9"/>
        <v>1081.5</v>
      </c>
      <c r="AB37" s="16">
        <f>+'5020'!AB37</f>
        <v>36050</v>
      </c>
      <c r="AC37" s="16">
        <f>+'5020'!AC37</f>
        <v>38550</v>
      </c>
      <c r="AE37">
        <f t="shared" si="10"/>
        <v>44010</v>
      </c>
      <c r="AF37" s="7">
        <f t="shared" si="11"/>
        <v>1100.25</v>
      </c>
      <c r="AG37" s="16">
        <v>34800</v>
      </c>
    </row>
    <row r="38" spans="1:35">
      <c r="B38" s="190" t="s">
        <v>1398</v>
      </c>
      <c r="D38" s="16">
        <f>+'5020'!D38</f>
        <v>21500</v>
      </c>
      <c r="E38">
        <f t="shared" si="0"/>
        <v>25800</v>
      </c>
      <c r="F38" s="10">
        <f>+'5020'!F38</f>
        <v>546</v>
      </c>
      <c r="G38" s="7">
        <f t="shared" si="1"/>
        <v>645</v>
      </c>
      <c r="I38" s="16">
        <f>+'5020'!I38</f>
        <v>24550</v>
      </c>
      <c r="J38">
        <f t="shared" si="2"/>
        <v>27630</v>
      </c>
      <c r="K38" s="10">
        <f>+'5020'!K38</f>
        <v>550</v>
      </c>
      <c r="L38" s="7">
        <f t="shared" si="3"/>
        <v>690.75</v>
      </c>
      <c r="N38" s="16">
        <f>+'5020'!N38</f>
        <v>27600</v>
      </c>
      <c r="O38">
        <f t="shared" si="4"/>
        <v>33120</v>
      </c>
      <c r="P38" s="10">
        <f>+'5020'!P38</f>
        <v>683</v>
      </c>
      <c r="Q38" s="7">
        <f t="shared" si="5"/>
        <v>828</v>
      </c>
      <c r="S38" s="16">
        <f>+'5020'!S38</f>
        <v>30650</v>
      </c>
      <c r="T38">
        <f t="shared" si="6"/>
        <v>38280</v>
      </c>
      <c r="U38" s="10">
        <f>+'5020'!U38</f>
        <v>897</v>
      </c>
      <c r="V38" s="7">
        <f t="shared" si="7"/>
        <v>957</v>
      </c>
      <c r="X38" s="16">
        <f>+'5020'!X38</f>
        <v>33150</v>
      </c>
      <c r="Y38">
        <f t="shared" si="8"/>
        <v>42720</v>
      </c>
      <c r="Z38" s="10">
        <f>+'5020'!Z38</f>
        <v>1022</v>
      </c>
      <c r="AA38" s="7">
        <f t="shared" si="9"/>
        <v>1068</v>
      </c>
      <c r="AB38" s="16">
        <f>+'5020'!AB38</f>
        <v>35600</v>
      </c>
      <c r="AC38" s="16">
        <f>+'5020'!AC38</f>
        <v>38050</v>
      </c>
      <c r="AE38">
        <f t="shared" si="10"/>
        <v>42390</v>
      </c>
      <c r="AF38" s="7">
        <f t="shared" si="11"/>
        <v>1059.75</v>
      </c>
      <c r="AG38" s="16">
        <v>32600</v>
      </c>
    </row>
    <row r="39" spans="1:35">
      <c r="A39" s="11"/>
      <c r="B39" s="190" t="s">
        <v>1399</v>
      </c>
      <c r="C39" s="11"/>
      <c r="D39" s="16">
        <f>+'5020'!D39</f>
        <v>17450</v>
      </c>
      <c r="E39" s="11">
        <f t="shared" si="0"/>
        <v>20940</v>
      </c>
      <c r="F39" s="10">
        <f>+'5020'!F39</f>
        <v>420</v>
      </c>
      <c r="G39" s="7">
        <f t="shared" si="1"/>
        <v>523.5</v>
      </c>
      <c r="H39" s="11"/>
      <c r="I39" s="16">
        <f>+'5020'!I39</f>
        <v>19950</v>
      </c>
      <c r="J39" s="11">
        <f t="shared" si="2"/>
        <v>22440</v>
      </c>
      <c r="K39" s="10">
        <f>+'5020'!K39</f>
        <v>453</v>
      </c>
      <c r="L39" s="7">
        <f t="shared" si="3"/>
        <v>561</v>
      </c>
      <c r="M39" s="11"/>
      <c r="N39" s="16">
        <f>+'5020'!N39</f>
        <v>22450</v>
      </c>
      <c r="O39" s="11">
        <f t="shared" si="4"/>
        <v>26940</v>
      </c>
      <c r="P39" s="10">
        <f>+'5020'!P39</f>
        <v>554</v>
      </c>
      <c r="Q39" s="7">
        <f t="shared" si="5"/>
        <v>673.5</v>
      </c>
      <c r="R39" s="11"/>
      <c r="S39" s="16">
        <f>+'5020'!S39</f>
        <v>24900</v>
      </c>
      <c r="T39" s="11">
        <f t="shared" si="6"/>
        <v>31080</v>
      </c>
      <c r="U39" s="10">
        <f>+'5020'!U39</f>
        <v>702</v>
      </c>
      <c r="V39" s="7">
        <f t="shared" si="7"/>
        <v>777</v>
      </c>
      <c r="W39" s="11"/>
      <c r="X39" s="16">
        <f>+'5020'!X39</f>
        <v>26900</v>
      </c>
      <c r="Y39" s="11">
        <f t="shared" si="8"/>
        <v>34680</v>
      </c>
      <c r="Z39" s="10">
        <f>+'5020'!Z39</f>
        <v>849</v>
      </c>
      <c r="AA39" s="7">
        <f t="shared" si="9"/>
        <v>867</v>
      </c>
      <c r="AB39" s="16">
        <f>+'5020'!AB39</f>
        <v>28900</v>
      </c>
      <c r="AC39" s="16">
        <f>+'5020'!AC39</f>
        <v>30900</v>
      </c>
      <c r="AD39" s="11"/>
      <c r="AE39" s="11">
        <f t="shared" si="10"/>
        <v>36000</v>
      </c>
      <c r="AF39" s="12">
        <f t="shared" si="11"/>
        <v>900</v>
      </c>
      <c r="AG39" s="16">
        <v>29100</v>
      </c>
      <c r="AH39" s="11"/>
      <c r="AI39" s="11"/>
    </row>
    <row r="40" spans="1:35">
      <c r="B40" s="190" t="s">
        <v>1400</v>
      </c>
      <c r="D40" s="16">
        <f>+'5020'!D40</f>
        <v>18000</v>
      </c>
      <c r="E40">
        <f t="shared" si="0"/>
        <v>21600</v>
      </c>
      <c r="F40" s="10">
        <f>+'5020'!F40</f>
        <v>547</v>
      </c>
      <c r="G40" s="7">
        <f t="shared" si="1"/>
        <v>540</v>
      </c>
      <c r="I40" s="16">
        <f>+'5020'!I40</f>
        <v>20600</v>
      </c>
      <c r="J40">
        <f t="shared" si="2"/>
        <v>23160</v>
      </c>
      <c r="K40" s="10">
        <f>+'5020'!K40</f>
        <v>564</v>
      </c>
      <c r="L40" s="7">
        <f t="shared" si="3"/>
        <v>579</v>
      </c>
      <c r="N40" s="16">
        <f>+'5020'!N40</f>
        <v>23150</v>
      </c>
      <c r="O40">
        <f t="shared" si="4"/>
        <v>27780</v>
      </c>
      <c r="P40" s="10">
        <f>+'5020'!P40</f>
        <v>657</v>
      </c>
      <c r="Q40" s="7">
        <f t="shared" si="5"/>
        <v>694.5</v>
      </c>
      <c r="S40" s="16">
        <f>+'5020'!S40</f>
        <v>25700</v>
      </c>
      <c r="T40">
        <f t="shared" si="6"/>
        <v>32100</v>
      </c>
      <c r="U40" s="10">
        <f>+'5020'!U40</f>
        <v>855</v>
      </c>
      <c r="V40" s="7">
        <f t="shared" si="7"/>
        <v>802.5</v>
      </c>
      <c r="X40" s="16">
        <f>+'5020'!X40</f>
        <v>27800</v>
      </c>
      <c r="Y40">
        <f t="shared" si="8"/>
        <v>35820</v>
      </c>
      <c r="Z40" s="10">
        <f>+'5020'!Z40</f>
        <v>883</v>
      </c>
      <c r="AA40" s="7">
        <f t="shared" si="9"/>
        <v>895.5</v>
      </c>
      <c r="AB40" s="16">
        <f>+'5020'!AB40</f>
        <v>29850</v>
      </c>
      <c r="AC40" s="16">
        <f>+'5020'!AC40</f>
        <v>31900</v>
      </c>
      <c r="AE40">
        <f t="shared" si="10"/>
        <v>37980</v>
      </c>
      <c r="AF40" s="7">
        <f t="shared" si="11"/>
        <v>949.5</v>
      </c>
      <c r="AG40" s="16">
        <v>31400</v>
      </c>
    </row>
    <row r="41" spans="1:35">
      <c r="B41" s="190" t="s">
        <v>1401</v>
      </c>
      <c r="D41" s="16">
        <f>+'5020'!D41</f>
        <v>22650</v>
      </c>
      <c r="E41">
        <f t="shared" si="0"/>
        <v>27180</v>
      </c>
      <c r="F41" s="10">
        <f>+'5020'!F41</f>
        <v>638</v>
      </c>
      <c r="G41" s="7">
        <f t="shared" si="1"/>
        <v>679.5</v>
      </c>
      <c r="I41" s="16">
        <f>+'5020'!I41</f>
        <v>25850</v>
      </c>
      <c r="J41">
        <f t="shared" si="2"/>
        <v>29100</v>
      </c>
      <c r="K41" s="10">
        <f>+'5020'!K41</f>
        <v>694</v>
      </c>
      <c r="L41" s="7">
        <f t="shared" si="3"/>
        <v>727.5</v>
      </c>
      <c r="N41" s="16">
        <f>+'5020'!N41</f>
        <v>29100</v>
      </c>
      <c r="O41">
        <f t="shared" si="4"/>
        <v>34920</v>
      </c>
      <c r="P41" s="10">
        <f>+'5020'!P41</f>
        <v>801</v>
      </c>
      <c r="Q41" s="7">
        <f t="shared" si="5"/>
        <v>873</v>
      </c>
      <c r="S41" s="16">
        <f>+'5020'!S41</f>
        <v>32300</v>
      </c>
      <c r="T41">
        <f t="shared" si="6"/>
        <v>40320</v>
      </c>
      <c r="U41" s="10">
        <f>+'5020'!U41</f>
        <v>1021</v>
      </c>
      <c r="V41" s="7">
        <f t="shared" si="7"/>
        <v>1008</v>
      </c>
      <c r="X41" s="16">
        <f>+'5020'!X41</f>
        <v>34900</v>
      </c>
      <c r="Y41">
        <f t="shared" si="8"/>
        <v>45000</v>
      </c>
      <c r="Z41" s="10">
        <f>+'5020'!Z41</f>
        <v>1123</v>
      </c>
      <c r="AA41" s="7">
        <f t="shared" si="9"/>
        <v>1125</v>
      </c>
      <c r="AB41" s="16">
        <f>+'5020'!AB41</f>
        <v>37500</v>
      </c>
      <c r="AC41" s="16">
        <f>+'5020'!AC41</f>
        <v>40100</v>
      </c>
      <c r="AE41">
        <f t="shared" si="10"/>
        <v>46290</v>
      </c>
      <c r="AF41" s="7">
        <f t="shared" si="11"/>
        <v>1157.25</v>
      </c>
      <c r="AG41" s="16">
        <v>37050</v>
      </c>
    </row>
    <row r="42" spans="1:35">
      <c r="B42" s="190" t="s">
        <v>1402</v>
      </c>
      <c r="D42" s="16">
        <f>+'5020'!D42</f>
        <v>16800</v>
      </c>
      <c r="E42">
        <f t="shared" si="0"/>
        <v>20160</v>
      </c>
      <c r="F42" s="10">
        <f>+'5020'!F42</f>
        <v>437</v>
      </c>
      <c r="G42" s="7">
        <f t="shared" si="1"/>
        <v>504</v>
      </c>
      <c r="I42" s="16">
        <f>+'5020'!I42</f>
        <v>19200</v>
      </c>
      <c r="J42">
        <f t="shared" si="2"/>
        <v>21600</v>
      </c>
      <c r="K42" s="10">
        <f>+'5020'!K42</f>
        <v>467</v>
      </c>
      <c r="L42" s="7">
        <f t="shared" si="3"/>
        <v>540</v>
      </c>
      <c r="N42" s="16">
        <f>+'5020'!N42</f>
        <v>21600</v>
      </c>
      <c r="O42">
        <f t="shared" si="4"/>
        <v>25920</v>
      </c>
      <c r="P42" s="10">
        <f>+'5020'!P42</f>
        <v>554</v>
      </c>
      <c r="Q42" s="7">
        <f t="shared" si="5"/>
        <v>648</v>
      </c>
      <c r="S42" s="16">
        <f>+'5020'!S42</f>
        <v>24000</v>
      </c>
      <c r="T42">
        <f t="shared" si="6"/>
        <v>29970</v>
      </c>
      <c r="U42" s="10">
        <f>+'5020'!U42</f>
        <v>701</v>
      </c>
      <c r="V42" s="7">
        <f t="shared" si="7"/>
        <v>749.25</v>
      </c>
      <c r="X42" s="16">
        <f>+'5020'!X42</f>
        <v>25950</v>
      </c>
      <c r="Y42">
        <f t="shared" si="8"/>
        <v>33420</v>
      </c>
      <c r="Z42" s="10">
        <f>+'5020'!Z42</f>
        <v>782</v>
      </c>
      <c r="AA42" s="7">
        <f t="shared" si="9"/>
        <v>835.5</v>
      </c>
      <c r="AB42" s="16">
        <f>+'5020'!AB42</f>
        <v>27850</v>
      </c>
      <c r="AC42" s="16">
        <f>+'5020'!AC42</f>
        <v>29800</v>
      </c>
      <c r="AE42">
        <f t="shared" si="10"/>
        <v>33720</v>
      </c>
      <c r="AF42" s="7">
        <f t="shared" si="11"/>
        <v>843</v>
      </c>
      <c r="AG42" s="16">
        <v>26400</v>
      </c>
    </row>
    <row r="43" spans="1:35">
      <c r="B43" s="190" t="s">
        <v>1403</v>
      </c>
      <c r="D43" s="16">
        <f>+'5020'!D43</f>
        <v>16800</v>
      </c>
      <c r="E43">
        <f t="shared" si="0"/>
        <v>20160</v>
      </c>
      <c r="F43" s="10">
        <f>+'5020'!F43</f>
        <v>471</v>
      </c>
      <c r="G43" s="7">
        <f t="shared" si="1"/>
        <v>504</v>
      </c>
      <c r="I43" s="16">
        <f>+'5020'!I43</f>
        <v>19200</v>
      </c>
      <c r="J43">
        <f t="shared" si="2"/>
        <v>21600</v>
      </c>
      <c r="K43" s="10">
        <f>+'5020'!K43</f>
        <v>473</v>
      </c>
      <c r="L43" s="7">
        <f t="shared" si="3"/>
        <v>540</v>
      </c>
      <c r="N43" s="16">
        <f>+'5020'!N43</f>
        <v>21600</v>
      </c>
      <c r="O43">
        <f t="shared" si="4"/>
        <v>25920</v>
      </c>
      <c r="P43" s="10">
        <f>+'5020'!P43</f>
        <v>588</v>
      </c>
      <c r="Q43" s="7">
        <f t="shared" si="5"/>
        <v>648</v>
      </c>
      <c r="S43" s="16">
        <f>+'5020'!S43</f>
        <v>24000</v>
      </c>
      <c r="T43">
        <f t="shared" si="6"/>
        <v>29970</v>
      </c>
      <c r="U43" s="10">
        <f>+'5020'!U43</f>
        <v>705</v>
      </c>
      <c r="V43" s="7">
        <f t="shared" si="7"/>
        <v>749.25</v>
      </c>
      <c r="X43" s="16">
        <f>+'5020'!X43</f>
        <v>25950</v>
      </c>
      <c r="Y43">
        <f t="shared" si="8"/>
        <v>33420</v>
      </c>
      <c r="Z43" s="10">
        <f>+'5020'!Z43</f>
        <v>763</v>
      </c>
      <c r="AA43" s="7">
        <f t="shared" si="9"/>
        <v>835.5</v>
      </c>
      <c r="AB43" s="16">
        <f>+'5020'!AB43</f>
        <v>27850</v>
      </c>
      <c r="AC43" s="16">
        <f>+'5020'!AC43</f>
        <v>29800</v>
      </c>
      <c r="AE43">
        <f t="shared" si="10"/>
        <v>33720</v>
      </c>
      <c r="AF43" s="7">
        <f t="shared" si="11"/>
        <v>843</v>
      </c>
      <c r="AG43" s="16">
        <v>26400</v>
      </c>
    </row>
    <row r="44" spans="1:35">
      <c r="A44" s="11"/>
      <c r="B44" s="190" t="s">
        <v>1404</v>
      </c>
      <c r="C44" s="11"/>
      <c r="D44" s="16">
        <f>+'5020'!D44</f>
        <v>16800</v>
      </c>
      <c r="E44" s="11">
        <f t="shared" si="0"/>
        <v>20160</v>
      </c>
      <c r="F44" s="10">
        <f>+'5020'!F44</f>
        <v>533</v>
      </c>
      <c r="G44" s="7">
        <f t="shared" si="1"/>
        <v>504</v>
      </c>
      <c r="H44" s="11"/>
      <c r="I44" s="16">
        <f>+'5020'!I44</f>
        <v>19200</v>
      </c>
      <c r="J44" s="11">
        <f t="shared" si="2"/>
        <v>21600</v>
      </c>
      <c r="K44" s="10">
        <f>+'5020'!K44</f>
        <v>535</v>
      </c>
      <c r="L44" s="7">
        <f t="shared" si="3"/>
        <v>540</v>
      </c>
      <c r="M44" s="11"/>
      <c r="N44" s="16">
        <f>+'5020'!N44</f>
        <v>21600</v>
      </c>
      <c r="O44" s="11">
        <f t="shared" si="4"/>
        <v>25920</v>
      </c>
      <c r="P44" s="10">
        <f>+'5020'!P44</f>
        <v>641</v>
      </c>
      <c r="Q44" s="7">
        <f t="shared" si="5"/>
        <v>648</v>
      </c>
      <c r="R44" s="11"/>
      <c r="S44" s="16">
        <f>+'5020'!S44</f>
        <v>24000</v>
      </c>
      <c r="T44" s="11">
        <f t="shared" si="6"/>
        <v>29970</v>
      </c>
      <c r="U44" s="10">
        <f>+'5020'!U44</f>
        <v>768</v>
      </c>
      <c r="V44" s="7">
        <f t="shared" si="7"/>
        <v>749.25</v>
      </c>
      <c r="W44" s="11"/>
      <c r="X44" s="16">
        <f>+'5020'!X44</f>
        <v>25950</v>
      </c>
      <c r="Y44" s="11">
        <f t="shared" si="8"/>
        <v>33420</v>
      </c>
      <c r="Z44" s="10">
        <f>+'5020'!Z44</f>
        <v>992</v>
      </c>
      <c r="AA44" s="7">
        <f t="shared" si="9"/>
        <v>835.5</v>
      </c>
      <c r="AB44" s="16">
        <f>+'5020'!AB44</f>
        <v>27850</v>
      </c>
      <c r="AC44" s="16">
        <f>+'5020'!AC44</f>
        <v>29800</v>
      </c>
      <c r="AD44" s="11"/>
      <c r="AE44" s="11">
        <f t="shared" si="10"/>
        <v>33750</v>
      </c>
      <c r="AF44" s="12">
        <f t="shared" si="11"/>
        <v>843.75</v>
      </c>
      <c r="AG44" s="16">
        <v>26450</v>
      </c>
      <c r="AH44" s="11"/>
      <c r="AI44" s="11"/>
    </row>
    <row r="45" spans="1:35">
      <c r="B45" s="190" t="s">
        <v>1405</v>
      </c>
      <c r="D45" s="16">
        <f>+'5020'!D45</f>
        <v>21150</v>
      </c>
      <c r="E45">
        <f t="shared" si="0"/>
        <v>25380</v>
      </c>
      <c r="F45" s="10">
        <f>+'5020'!F45</f>
        <v>767</v>
      </c>
      <c r="G45" s="7">
        <f t="shared" si="1"/>
        <v>634.5</v>
      </c>
      <c r="I45" s="16">
        <f>+'5020'!I45</f>
        <v>24150</v>
      </c>
      <c r="J45">
        <f t="shared" si="2"/>
        <v>27180</v>
      </c>
      <c r="K45" s="10">
        <f>+'5020'!K45</f>
        <v>850</v>
      </c>
      <c r="L45" s="7">
        <f t="shared" si="3"/>
        <v>679.5</v>
      </c>
      <c r="N45" s="16">
        <f>+'5020'!N45</f>
        <v>27150</v>
      </c>
      <c r="O45">
        <f t="shared" si="4"/>
        <v>32580</v>
      </c>
      <c r="P45" s="10">
        <f>+'5020'!P45</f>
        <v>994</v>
      </c>
      <c r="Q45" s="7">
        <f t="shared" si="5"/>
        <v>814.5</v>
      </c>
      <c r="S45" s="16">
        <f>+'5020'!S45</f>
        <v>30150</v>
      </c>
      <c r="T45">
        <f t="shared" si="6"/>
        <v>37650</v>
      </c>
      <c r="U45" s="10">
        <f>+'5020'!U45</f>
        <v>1276</v>
      </c>
      <c r="V45" s="7">
        <f t="shared" si="7"/>
        <v>941.25</v>
      </c>
      <c r="X45" s="16">
        <f>+'5020'!X45</f>
        <v>32600</v>
      </c>
      <c r="Y45">
        <f t="shared" si="8"/>
        <v>42000</v>
      </c>
      <c r="Z45" s="10">
        <f>+'5020'!Z45</f>
        <v>1319</v>
      </c>
      <c r="AA45" s="7">
        <f t="shared" si="9"/>
        <v>1050</v>
      </c>
      <c r="AB45" s="16">
        <f>+'5020'!AB45</f>
        <v>35000</v>
      </c>
      <c r="AC45" s="16">
        <f>+'5020'!AC45</f>
        <v>37400</v>
      </c>
      <c r="AE45">
        <f t="shared" si="10"/>
        <v>43140</v>
      </c>
      <c r="AF45" s="7">
        <f t="shared" si="11"/>
        <v>1078.5</v>
      </c>
      <c r="AG45" s="16">
        <v>34500</v>
      </c>
    </row>
    <row r="46" spans="1:35">
      <c r="B46" s="190" t="s">
        <v>1406</v>
      </c>
      <c r="D46" s="16">
        <f>+'5020'!D46</f>
        <v>18000</v>
      </c>
      <c r="E46">
        <f t="shared" si="0"/>
        <v>21600</v>
      </c>
      <c r="F46" s="10">
        <f>+'5020'!F46</f>
        <v>484</v>
      </c>
      <c r="G46" s="7">
        <f t="shared" si="1"/>
        <v>540</v>
      </c>
      <c r="I46" s="16">
        <f>+'5020'!I46</f>
        <v>20600</v>
      </c>
      <c r="J46">
        <f t="shared" si="2"/>
        <v>23160</v>
      </c>
      <c r="K46" s="10">
        <f>+'5020'!K46</f>
        <v>548</v>
      </c>
      <c r="L46" s="7">
        <f t="shared" si="3"/>
        <v>579</v>
      </c>
      <c r="N46" s="16">
        <f>+'5020'!N46</f>
        <v>23150</v>
      </c>
      <c r="O46">
        <f t="shared" si="4"/>
        <v>27780</v>
      </c>
      <c r="P46" s="10">
        <f>+'5020'!P46</f>
        <v>681</v>
      </c>
      <c r="Q46" s="7">
        <f t="shared" si="5"/>
        <v>694.5</v>
      </c>
      <c r="S46" s="16">
        <f>+'5020'!S46</f>
        <v>25700</v>
      </c>
      <c r="T46">
        <f t="shared" si="6"/>
        <v>32100</v>
      </c>
      <c r="U46" s="10">
        <f>+'5020'!U46</f>
        <v>904</v>
      </c>
      <c r="V46" s="7">
        <f t="shared" si="7"/>
        <v>802.5</v>
      </c>
      <c r="X46" s="16">
        <f>+'5020'!X46</f>
        <v>27800</v>
      </c>
      <c r="Y46">
        <f t="shared" si="8"/>
        <v>35820</v>
      </c>
      <c r="Z46" s="10">
        <f>+'5020'!Z46</f>
        <v>932</v>
      </c>
      <c r="AA46" s="7">
        <f t="shared" si="9"/>
        <v>895.5</v>
      </c>
      <c r="AB46" s="16">
        <f>+'5020'!AB46</f>
        <v>29850</v>
      </c>
      <c r="AC46" s="16">
        <f>+'5020'!AC46</f>
        <v>31900</v>
      </c>
      <c r="AE46">
        <f t="shared" si="10"/>
        <v>38190</v>
      </c>
      <c r="AF46" s="7">
        <f t="shared" si="11"/>
        <v>954.75</v>
      </c>
      <c r="AG46" s="16">
        <v>31750</v>
      </c>
    </row>
    <row r="47" spans="1:35">
      <c r="B47" s="190" t="s">
        <v>1407</v>
      </c>
      <c r="D47" s="16">
        <f>+'5020'!D47</f>
        <v>21150</v>
      </c>
      <c r="E47">
        <f t="shared" si="0"/>
        <v>25380</v>
      </c>
      <c r="F47" s="10">
        <f>+'5020'!F47</f>
        <v>767</v>
      </c>
      <c r="G47" s="7">
        <f t="shared" si="1"/>
        <v>634.5</v>
      </c>
      <c r="I47" s="16">
        <f>+'5020'!I47</f>
        <v>24150</v>
      </c>
      <c r="J47">
        <f t="shared" si="2"/>
        <v>27180</v>
      </c>
      <c r="K47" s="10">
        <f>+'5020'!K47</f>
        <v>850</v>
      </c>
      <c r="L47" s="7">
        <f t="shared" si="3"/>
        <v>679.5</v>
      </c>
      <c r="N47" s="16">
        <f>+'5020'!N47</f>
        <v>27150</v>
      </c>
      <c r="O47">
        <f t="shared" si="4"/>
        <v>32580</v>
      </c>
      <c r="P47" s="10">
        <f>+'5020'!P47</f>
        <v>994</v>
      </c>
      <c r="Q47" s="7">
        <f t="shared" si="5"/>
        <v>814.5</v>
      </c>
      <c r="S47" s="16">
        <f>+'5020'!S47</f>
        <v>30150</v>
      </c>
      <c r="T47">
        <f t="shared" si="6"/>
        <v>37650</v>
      </c>
      <c r="U47" s="10">
        <f>+'5020'!U47</f>
        <v>1276</v>
      </c>
      <c r="V47" s="7">
        <f t="shared" si="7"/>
        <v>941.25</v>
      </c>
      <c r="X47" s="16">
        <f>+'5020'!X47</f>
        <v>32600</v>
      </c>
      <c r="Y47">
        <f t="shared" si="8"/>
        <v>42000</v>
      </c>
      <c r="Z47" s="10">
        <f>+'5020'!Z47</f>
        <v>1319</v>
      </c>
      <c r="AA47" s="7">
        <f t="shared" si="9"/>
        <v>1050</v>
      </c>
      <c r="AB47" s="16">
        <f>+'5020'!AB47</f>
        <v>35000</v>
      </c>
      <c r="AC47" s="16">
        <f>+'5020'!AC47</f>
        <v>37400</v>
      </c>
      <c r="AE47">
        <f t="shared" si="10"/>
        <v>43140</v>
      </c>
      <c r="AF47" s="7">
        <f t="shared" si="11"/>
        <v>1078.5</v>
      </c>
      <c r="AG47" s="16">
        <v>34500</v>
      </c>
    </row>
    <row r="48" spans="1:35">
      <c r="B48" s="190" t="s">
        <v>1408</v>
      </c>
      <c r="D48" s="16">
        <f>+'5020'!D48</f>
        <v>22650</v>
      </c>
      <c r="E48">
        <f t="shared" si="0"/>
        <v>27180</v>
      </c>
      <c r="F48" s="10">
        <f>+'5020'!F48</f>
        <v>638</v>
      </c>
      <c r="G48" s="7">
        <f t="shared" si="1"/>
        <v>679.5</v>
      </c>
      <c r="I48" s="16">
        <f>+'5020'!I48</f>
        <v>25850</v>
      </c>
      <c r="J48">
        <f t="shared" si="2"/>
        <v>29100</v>
      </c>
      <c r="K48" s="10">
        <f>+'5020'!K48</f>
        <v>694</v>
      </c>
      <c r="L48" s="7">
        <f t="shared" si="3"/>
        <v>727.5</v>
      </c>
      <c r="N48" s="16">
        <f>+'5020'!N48</f>
        <v>29100</v>
      </c>
      <c r="O48">
        <f t="shared" si="4"/>
        <v>34920</v>
      </c>
      <c r="P48" s="10">
        <f>+'5020'!P48</f>
        <v>801</v>
      </c>
      <c r="Q48" s="7">
        <f t="shared" si="5"/>
        <v>873</v>
      </c>
      <c r="S48" s="16">
        <f>+'5020'!S48</f>
        <v>32300</v>
      </c>
      <c r="T48">
        <f t="shared" si="6"/>
        <v>40320</v>
      </c>
      <c r="U48" s="10">
        <f>+'5020'!U48</f>
        <v>1021</v>
      </c>
      <c r="V48" s="7">
        <f t="shared" si="7"/>
        <v>1008</v>
      </c>
      <c r="X48" s="16">
        <f>+'5020'!X48</f>
        <v>34900</v>
      </c>
      <c r="Y48">
        <f t="shared" si="8"/>
        <v>45000</v>
      </c>
      <c r="Z48" s="10">
        <f>+'5020'!Z48</f>
        <v>1123</v>
      </c>
      <c r="AA48" s="7">
        <f t="shared" si="9"/>
        <v>1125</v>
      </c>
      <c r="AB48" s="16">
        <f>+'5020'!AB48</f>
        <v>37500</v>
      </c>
      <c r="AC48" s="16">
        <f>+'5020'!AC48</f>
        <v>40100</v>
      </c>
      <c r="AE48">
        <f t="shared" si="10"/>
        <v>46290</v>
      </c>
      <c r="AF48" s="7">
        <f t="shared" si="11"/>
        <v>1157.25</v>
      </c>
      <c r="AG48" s="16">
        <v>37050</v>
      </c>
    </row>
    <row r="49" spans="1:35">
      <c r="A49" s="11"/>
      <c r="B49" s="190" t="s">
        <v>1409</v>
      </c>
      <c r="C49" s="11"/>
      <c r="D49" s="16">
        <f>+'5020'!D49</f>
        <v>18400</v>
      </c>
      <c r="E49" s="11">
        <f t="shared" si="0"/>
        <v>22080</v>
      </c>
      <c r="F49" s="10">
        <f>+'5020'!F49</f>
        <v>493</v>
      </c>
      <c r="G49" s="7">
        <f t="shared" si="1"/>
        <v>552</v>
      </c>
      <c r="H49" s="11"/>
      <c r="I49" s="16">
        <f>+'5020'!I49</f>
        <v>21000</v>
      </c>
      <c r="J49" s="11">
        <f t="shared" si="2"/>
        <v>23640</v>
      </c>
      <c r="K49" s="10">
        <f>+'5020'!K49</f>
        <v>533</v>
      </c>
      <c r="L49" s="7">
        <f t="shared" si="3"/>
        <v>591</v>
      </c>
      <c r="M49" s="11"/>
      <c r="N49" s="16">
        <f>+'5020'!N49</f>
        <v>23650</v>
      </c>
      <c r="O49" s="11">
        <f t="shared" si="4"/>
        <v>28380</v>
      </c>
      <c r="P49" s="10">
        <f>+'5020'!P49</f>
        <v>635</v>
      </c>
      <c r="Q49" s="7">
        <f t="shared" si="5"/>
        <v>709.5</v>
      </c>
      <c r="R49" s="11"/>
      <c r="S49" s="16">
        <f>+'5020'!S49</f>
        <v>26250</v>
      </c>
      <c r="T49" s="11">
        <f t="shared" si="6"/>
        <v>32760</v>
      </c>
      <c r="U49" s="10">
        <f>+'5020'!U49</f>
        <v>826</v>
      </c>
      <c r="V49" s="7">
        <f t="shared" si="7"/>
        <v>819</v>
      </c>
      <c r="W49" s="11"/>
      <c r="X49" s="16">
        <f>+'5020'!X49</f>
        <v>28350</v>
      </c>
      <c r="Y49" s="11">
        <f t="shared" si="8"/>
        <v>36540</v>
      </c>
      <c r="Z49" s="10">
        <f>+'5020'!Z49</f>
        <v>850</v>
      </c>
      <c r="AA49" s="7">
        <f t="shared" si="9"/>
        <v>913.5</v>
      </c>
      <c r="AB49" s="16">
        <f>+'5020'!AB49</f>
        <v>30450</v>
      </c>
      <c r="AC49" s="16">
        <f>+'5020'!AC49</f>
        <v>32550</v>
      </c>
      <c r="AD49" s="11"/>
      <c r="AE49" s="11">
        <f t="shared" si="10"/>
        <v>37320</v>
      </c>
      <c r="AF49" s="12">
        <f t="shared" si="11"/>
        <v>933</v>
      </c>
      <c r="AG49" s="16">
        <v>29650</v>
      </c>
      <c r="AH49" s="11"/>
      <c r="AI49" s="11"/>
    </row>
    <row r="50" spans="1:35">
      <c r="B50" s="190" t="s">
        <v>1410</v>
      </c>
      <c r="D50" s="16">
        <f>+'5020'!D50</f>
        <v>16800</v>
      </c>
      <c r="E50">
        <f t="shared" si="0"/>
        <v>20160</v>
      </c>
      <c r="F50" s="10">
        <f>+'5020'!F50</f>
        <v>510</v>
      </c>
      <c r="G50" s="7">
        <f t="shared" si="1"/>
        <v>504</v>
      </c>
      <c r="I50" s="16">
        <f>+'5020'!I50</f>
        <v>19200</v>
      </c>
      <c r="J50">
        <f t="shared" si="2"/>
        <v>21600</v>
      </c>
      <c r="K50" s="10">
        <f>+'5020'!K50</f>
        <v>519</v>
      </c>
      <c r="L50" s="7">
        <f t="shared" si="3"/>
        <v>540</v>
      </c>
      <c r="N50" s="16">
        <f>+'5020'!N50</f>
        <v>21600</v>
      </c>
      <c r="O50">
        <f t="shared" si="4"/>
        <v>25920</v>
      </c>
      <c r="P50" s="10">
        <f>+'5020'!P50</f>
        <v>614</v>
      </c>
      <c r="Q50" s="7">
        <f t="shared" si="5"/>
        <v>648</v>
      </c>
      <c r="S50" s="16">
        <f>+'5020'!S50</f>
        <v>24000</v>
      </c>
      <c r="T50">
        <f t="shared" si="6"/>
        <v>29970</v>
      </c>
      <c r="U50" s="10">
        <f>+'5020'!U50</f>
        <v>734</v>
      </c>
      <c r="V50" s="7">
        <f t="shared" si="7"/>
        <v>749.25</v>
      </c>
      <c r="X50" s="16">
        <f>+'5020'!X50</f>
        <v>25950</v>
      </c>
      <c r="Y50">
        <f t="shared" si="8"/>
        <v>33420</v>
      </c>
      <c r="Z50" s="10">
        <f>+'5020'!Z50</f>
        <v>803</v>
      </c>
      <c r="AA50" s="7">
        <f t="shared" si="9"/>
        <v>835.5</v>
      </c>
      <c r="AB50" s="16">
        <f>+'5020'!AB50</f>
        <v>27850</v>
      </c>
      <c r="AC50" s="16">
        <f>+'5020'!AC50</f>
        <v>29800</v>
      </c>
      <c r="AE50">
        <f t="shared" si="10"/>
        <v>33720</v>
      </c>
      <c r="AF50" s="7">
        <f t="shared" si="11"/>
        <v>843</v>
      </c>
      <c r="AG50" s="16">
        <v>26400</v>
      </c>
    </row>
    <row r="51" spans="1:35">
      <c r="B51" s="190" t="s">
        <v>1411</v>
      </c>
      <c r="D51" s="16">
        <f>+'5020'!D51</f>
        <v>16800</v>
      </c>
      <c r="E51">
        <f t="shared" si="0"/>
        <v>20160</v>
      </c>
      <c r="F51" s="10">
        <f>+'5020'!F51</f>
        <v>437</v>
      </c>
      <c r="G51" s="7">
        <f t="shared" si="1"/>
        <v>504</v>
      </c>
      <c r="I51" s="16">
        <f>+'5020'!I51</f>
        <v>19200</v>
      </c>
      <c r="J51">
        <f t="shared" si="2"/>
        <v>21600</v>
      </c>
      <c r="K51" s="10">
        <f>+'5020'!K51</f>
        <v>467</v>
      </c>
      <c r="L51" s="7">
        <f t="shared" si="3"/>
        <v>540</v>
      </c>
      <c r="N51" s="16">
        <f>+'5020'!N51</f>
        <v>21600</v>
      </c>
      <c r="O51">
        <f t="shared" si="4"/>
        <v>25920</v>
      </c>
      <c r="P51" s="10">
        <f>+'5020'!P51</f>
        <v>554</v>
      </c>
      <c r="Q51" s="7">
        <f t="shared" si="5"/>
        <v>648</v>
      </c>
      <c r="S51" s="16">
        <f>+'5020'!S51</f>
        <v>24000</v>
      </c>
      <c r="T51">
        <f t="shared" si="6"/>
        <v>29970</v>
      </c>
      <c r="U51" s="10">
        <f>+'5020'!U51</f>
        <v>701</v>
      </c>
      <c r="V51" s="7">
        <f t="shared" si="7"/>
        <v>749.25</v>
      </c>
      <c r="X51" s="16">
        <f>+'5020'!X51</f>
        <v>25950</v>
      </c>
      <c r="Y51">
        <f t="shared" si="8"/>
        <v>33420</v>
      </c>
      <c r="Z51" s="10">
        <f>+'5020'!Z51</f>
        <v>782</v>
      </c>
      <c r="AA51" s="7">
        <f t="shared" si="9"/>
        <v>835.5</v>
      </c>
      <c r="AB51" s="16">
        <f>+'5020'!AB51</f>
        <v>27850</v>
      </c>
      <c r="AC51" s="16">
        <f>+'5020'!AC51</f>
        <v>29800</v>
      </c>
      <c r="AE51">
        <f t="shared" si="10"/>
        <v>33720</v>
      </c>
      <c r="AF51" s="7">
        <f t="shared" si="11"/>
        <v>843</v>
      </c>
      <c r="AG51" s="16">
        <v>26400</v>
      </c>
    </row>
    <row r="52" spans="1:35">
      <c r="B52" s="190" t="s">
        <v>1412</v>
      </c>
      <c r="D52" s="16">
        <f>+'5020'!D52</f>
        <v>17100</v>
      </c>
      <c r="E52">
        <f t="shared" si="0"/>
        <v>20520</v>
      </c>
      <c r="F52" s="10">
        <f>+'5020'!F52</f>
        <v>510</v>
      </c>
      <c r="G52" s="7">
        <f t="shared" si="1"/>
        <v>513</v>
      </c>
      <c r="I52" s="16">
        <f>+'5020'!I52</f>
        <v>19550</v>
      </c>
      <c r="J52">
        <f t="shared" si="2"/>
        <v>21990</v>
      </c>
      <c r="K52" s="10">
        <f>+'5020'!K52</f>
        <v>519</v>
      </c>
      <c r="L52" s="7">
        <f t="shared" si="3"/>
        <v>549.75</v>
      </c>
      <c r="N52" s="16">
        <f>+'5020'!N52</f>
        <v>22000</v>
      </c>
      <c r="O52">
        <f t="shared" si="4"/>
        <v>26400</v>
      </c>
      <c r="P52" s="10">
        <f>+'5020'!P52</f>
        <v>614</v>
      </c>
      <c r="Q52" s="7">
        <f t="shared" si="5"/>
        <v>660</v>
      </c>
      <c r="S52" s="16">
        <f>+'5020'!S52</f>
        <v>24400</v>
      </c>
      <c r="T52">
        <f t="shared" si="6"/>
        <v>30480</v>
      </c>
      <c r="U52" s="10">
        <f>+'5020'!U52</f>
        <v>734</v>
      </c>
      <c r="V52" s="7">
        <f t="shared" si="7"/>
        <v>762</v>
      </c>
      <c r="X52" s="16">
        <f>+'5020'!X52</f>
        <v>26400</v>
      </c>
      <c r="Y52">
        <f t="shared" si="8"/>
        <v>34020</v>
      </c>
      <c r="Z52" s="10">
        <f>+'5020'!Z52</f>
        <v>803</v>
      </c>
      <c r="AA52" s="7">
        <f t="shared" si="9"/>
        <v>850.5</v>
      </c>
      <c r="AB52" s="16">
        <f>+'5020'!AB52</f>
        <v>28350</v>
      </c>
      <c r="AC52" s="16">
        <f>+'5020'!AC52</f>
        <v>30300</v>
      </c>
      <c r="AE52">
        <f t="shared" si="10"/>
        <v>34020</v>
      </c>
      <c r="AF52" s="7">
        <f t="shared" si="11"/>
        <v>850.5</v>
      </c>
      <c r="AG52" s="16">
        <v>26400</v>
      </c>
    </row>
    <row r="53" spans="1:35">
      <c r="B53" s="190" t="s">
        <v>232</v>
      </c>
      <c r="D53" s="16">
        <f>+'5020'!D53</f>
        <v>21150</v>
      </c>
      <c r="E53">
        <f t="shared" si="0"/>
        <v>25380</v>
      </c>
      <c r="F53" s="10">
        <f>+'5020'!F53</f>
        <v>767</v>
      </c>
      <c r="G53" s="7">
        <f t="shared" si="1"/>
        <v>634.5</v>
      </c>
      <c r="I53" s="16">
        <f>+'5020'!I53</f>
        <v>24150</v>
      </c>
      <c r="J53">
        <f t="shared" si="2"/>
        <v>27180</v>
      </c>
      <c r="K53" s="10">
        <f>+'5020'!K53</f>
        <v>850</v>
      </c>
      <c r="L53" s="7">
        <f t="shared" si="3"/>
        <v>679.5</v>
      </c>
      <c r="N53" s="16">
        <f>+'5020'!N53</f>
        <v>27150</v>
      </c>
      <c r="O53">
        <f t="shared" si="4"/>
        <v>32580</v>
      </c>
      <c r="P53" s="10">
        <f>+'5020'!P53</f>
        <v>994</v>
      </c>
      <c r="Q53" s="7">
        <f t="shared" si="5"/>
        <v>814.5</v>
      </c>
      <c r="S53" s="16">
        <f>+'5020'!S53</f>
        <v>30150</v>
      </c>
      <c r="T53">
        <f t="shared" si="6"/>
        <v>37650</v>
      </c>
      <c r="U53" s="10">
        <f>+'5020'!U53</f>
        <v>1276</v>
      </c>
      <c r="V53" s="7">
        <f t="shared" si="7"/>
        <v>941.25</v>
      </c>
      <c r="X53" s="16">
        <f>+'5020'!X53</f>
        <v>32600</v>
      </c>
      <c r="Y53">
        <f t="shared" si="8"/>
        <v>42000</v>
      </c>
      <c r="Z53" s="10">
        <f>+'5020'!Z53</f>
        <v>1319</v>
      </c>
      <c r="AA53" s="7">
        <f t="shared" si="9"/>
        <v>1050</v>
      </c>
      <c r="AB53" s="16">
        <f>+'5020'!AB53</f>
        <v>35000</v>
      </c>
      <c r="AC53" s="16">
        <f>+'5020'!AC53</f>
        <v>37400</v>
      </c>
      <c r="AE53">
        <f t="shared" si="10"/>
        <v>43140</v>
      </c>
      <c r="AF53" s="7">
        <f t="shared" si="11"/>
        <v>1078.5</v>
      </c>
      <c r="AG53" s="16">
        <v>34500</v>
      </c>
    </row>
    <row r="54" spans="1:35">
      <c r="A54" s="11"/>
      <c r="B54" s="190" t="s">
        <v>233</v>
      </c>
      <c r="C54" s="11"/>
      <c r="D54" s="16">
        <f>+'5020'!D54</f>
        <v>21150</v>
      </c>
      <c r="E54" s="11">
        <f t="shared" si="0"/>
        <v>25380</v>
      </c>
      <c r="F54" s="10">
        <f>+'5020'!F54</f>
        <v>767</v>
      </c>
      <c r="G54" s="7">
        <f t="shared" si="1"/>
        <v>634.5</v>
      </c>
      <c r="H54" s="11"/>
      <c r="I54" s="16">
        <f>+'5020'!I54</f>
        <v>24150</v>
      </c>
      <c r="J54" s="11">
        <f t="shared" si="2"/>
        <v>27180</v>
      </c>
      <c r="K54" s="10">
        <f>+'5020'!K54</f>
        <v>850</v>
      </c>
      <c r="L54" s="7">
        <f t="shared" si="3"/>
        <v>679.5</v>
      </c>
      <c r="M54" s="11"/>
      <c r="N54" s="16">
        <f>+'5020'!N54</f>
        <v>27150</v>
      </c>
      <c r="O54" s="11">
        <f t="shared" si="4"/>
        <v>32580</v>
      </c>
      <c r="P54" s="10">
        <f>+'5020'!P54</f>
        <v>994</v>
      </c>
      <c r="Q54" s="7">
        <f t="shared" si="5"/>
        <v>814.5</v>
      </c>
      <c r="R54" s="11"/>
      <c r="S54" s="16">
        <f>+'5020'!S54</f>
        <v>30150</v>
      </c>
      <c r="T54" s="11">
        <f t="shared" si="6"/>
        <v>37650</v>
      </c>
      <c r="U54" s="10">
        <f>+'5020'!U54</f>
        <v>1276</v>
      </c>
      <c r="V54" s="7">
        <f t="shared" si="7"/>
        <v>941.25</v>
      </c>
      <c r="W54" s="11"/>
      <c r="X54" s="16">
        <f>+'5020'!X54</f>
        <v>32600</v>
      </c>
      <c r="Y54" s="11">
        <f t="shared" si="8"/>
        <v>42000</v>
      </c>
      <c r="Z54" s="10">
        <f>+'5020'!Z54</f>
        <v>1319</v>
      </c>
      <c r="AA54" s="7">
        <f t="shared" si="9"/>
        <v>1050</v>
      </c>
      <c r="AB54" s="16">
        <f>+'5020'!AB54</f>
        <v>35000</v>
      </c>
      <c r="AC54" s="16">
        <f>+'5020'!AC54</f>
        <v>37400</v>
      </c>
      <c r="AD54" s="11"/>
      <c r="AE54" s="11">
        <f t="shared" si="10"/>
        <v>43140</v>
      </c>
      <c r="AF54" s="12">
        <f t="shared" si="11"/>
        <v>1078.5</v>
      </c>
      <c r="AG54" s="16">
        <v>34500</v>
      </c>
      <c r="AH54" s="11"/>
      <c r="AI54" s="11"/>
    </row>
    <row r="55" spans="1:35">
      <c r="B55" s="190" t="s">
        <v>317</v>
      </c>
      <c r="D55" s="16">
        <f>+'5020'!D55</f>
        <v>22650</v>
      </c>
      <c r="E55">
        <f t="shared" si="0"/>
        <v>27180</v>
      </c>
      <c r="F55" s="10">
        <f>+'5020'!F55</f>
        <v>638</v>
      </c>
      <c r="G55" s="7">
        <f t="shared" si="1"/>
        <v>679.5</v>
      </c>
      <c r="I55" s="16">
        <f>+'5020'!I55</f>
        <v>25850</v>
      </c>
      <c r="J55">
        <f t="shared" si="2"/>
        <v>29100</v>
      </c>
      <c r="K55" s="10">
        <f>+'5020'!K55</f>
        <v>694</v>
      </c>
      <c r="L55" s="7">
        <f t="shared" si="3"/>
        <v>727.5</v>
      </c>
      <c r="N55" s="16">
        <f>+'5020'!N55</f>
        <v>29100</v>
      </c>
      <c r="O55">
        <f t="shared" si="4"/>
        <v>34920</v>
      </c>
      <c r="P55" s="10">
        <f>+'5020'!P55</f>
        <v>801</v>
      </c>
      <c r="Q55" s="7">
        <f t="shared" si="5"/>
        <v>873</v>
      </c>
      <c r="S55" s="16">
        <f>+'5020'!S55</f>
        <v>32300</v>
      </c>
      <c r="T55">
        <f t="shared" si="6"/>
        <v>40320</v>
      </c>
      <c r="U55" s="10">
        <f>+'5020'!U55</f>
        <v>1021</v>
      </c>
      <c r="V55" s="7">
        <f t="shared" si="7"/>
        <v>1008</v>
      </c>
      <c r="X55" s="16">
        <f>+'5020'!X55</f>
        <v>34900</v>
      </c>
      <c r="Y55">
        <f t="shared" si="8"/>
        <v>45000</v>
      </c>
      <c r="Z55" s="10">
        <f>+'5020'!Z55</f>
        <v>1123</v>
      </c>
      <c r="AA55" s="7">
        <f t="shared" si="9"/>
        <v>1125</v>
      </c>
      <c r="AB55" s="16">
        <f>+'5020'!AB55</f>
        <v>37500</v>
      </c>
      <c r="AC55" s="16">
        <f>+'5020'!AC55</f>
        <v>40100</v>
      </c>
      <c r="AE55">
        <f t="shared" si="10"/>
        <v>46290</v>
      </c>
      <c r="AF55" s="7">
        <f t="shared" si="11"/>
        <v>1157.25</v>
      </c>
      <c r="AG55" s="16">
        <v>37050</v>
      </c>
    </row>
    <row r="56" spans="1:35">
      <c r="B56" s="190" t="s">
        <v>318</v>
      </c>
      <c r="D56" s="16">
        <f>+'5020'!D56</f>
        <v>22100</v>
      </c>
      <c r="E56">
        <f t="shared" si="0"/>
        <v>26520</v>
      </c>
      <c r="F56" s="10">
        <f>+'5020'!F56</f>
        <v>531</v>
      </c>
      <c r="G56" s="7">
        <f t="shared" si="1"/>
        <v>663</v>
      </c>
      <c r="I56" s="16">
        <f>+'5020'!I56</f>
        <v>25250</v>
      </c>
      <c r="J56">
        <f t="shared" si="2"/>
        <v>28410</v>
      </c>
      <c r="K56" s="10">
        <f>+'5020'!K56</f>
        <v>620</v>
      </c>
      <c r="L56" s="7">
        <f t="shared" si="3"/>
        <v>710.25</v>
      </c>
      <c r="N56" s="16">
        <f>+'5020'!N56</f>
        <v>28400</v>
      </c>
      <c r="O56">
        <f t="shared" si="4"/>
        <v>34080</v>
      </c>
      <c r="P56" s="10">
        <f>+'5020'!P56</f>
        <v>760</v>
      </c>
      <c r="Q56" s="7">
        <f t="shared" si="5"/>
        <v>852</v>
      </c>
      <c r="S56" s="16">
        <f>+'5020'!S56</f>
        <v>31550</v>
      </c>
      <c r="T56">
        <f t="shared" si="6"/>
        <v>39390</v>
      </c>
      <c r="U56" s="10">
        <f>+'5020'!U56</f>
        <v>933</v>
      </c>
      <c r="V56" s="7">
        <f t="shared" si="7"/>
        <v>984.75</v>
      </c>
      <c r="X56" s="16">
        <f>+'5020'!X56</f>
        <v>34100</v>
      </c>
      <c r="Y56">
        <f t="shared" si="8"/>
        <v>43920</v>
      </c>
      <c r="Z56" s="10">
        <f>+'5020'!Z56</f>
        <v>961</v>
      </c>
      <c r="AA56" s="7">
        <f t="shared" si="9"/>
        <v>1098</v>
      </c>
      <c r="AB56" s="16">
        <f>+'5020'!AB56</f>
        <v>36600</v>
      </c>
      <c r="AC56" s="16">
        <f>+'5020'!AC56</f>
        <v>39150</v>
      </c>
      <c r="AE56">
        <f t="shared" si="10"/>
        <v>43410</v>
      </c>
      <c r="AF56" s="7">
        <f t="shared" si="11"/>
        <v>1085.25</v>
      </c>
      <c r="AG56" s="16">
        <v>33200</v>
      </c>
    </row>
    <row r="57" spans="1:35">
      <c r="B57" s="190" t="s">
        <v>319</v>
      </c>
      <c r="D57" s="16">
        <f>+'5020'!D57</f>
        <v>21150</v>
      </c>
      <c r="E57">
        <f t="shared" si="0"/>
        <v>25380</v>
      </c>
      <c r="F57" s="10">
        <f>+'5020'!F57</f>
        <v>767</v>
      </c>
      <c r="G57" s="7">
        <f t="shared" si="1"/>
        <v>634.5</v>
      </c>
      <c r="I57" s="16">
        <f>+'5020'!I57</f>
        <v>24150</v>
      </c>
      <c r="J57">
        <f t="shared" si="2"/>
        <v>27180</v>
      </c>
      <c r="K57" s="10">
        <f>+'5020'!K57</f>
        <v>850</v>
      </c>
      <c r="L57" s="7">
        <f t="shared" si="3"/>
        <v>679.5</v>
      </c>
      <c r="N57" s="16">
        <f>+'5020'!N57</f>
        <v>27150</v>
      </c>
      <c r="O57">
        <f t="shared" si="4"/>
        <v>32580</v>
      </c>
      <c r="P57" s="10">
        <f>+'5020'!P57</f>
        <v>994</v>
      </c>
      <c r="Q57" s="7">
        <f t="shared" si="5"/>
        <v>814.5</v>
      </c>
      <c r="S57" s="16">
        <f>+'5020'!S57</f>
        <v>30150</v>
      </c>
      <c r="T57">
        <f t="shared" si="6"/>
        <v>37650</v>
      </c>
      <c r="U57" s="10">
        <f>+'5020'!U57</f>
        <v>1276</v>
      </c>
      <c r="V57" s="7">
        <f t="shared" si="7"/>
        <v>941.25</v>
      </c>
      <c r="X57" s="16">
        <f>+'5020'!X57</f>
        <v>32600</v>
      </c>
      <c r="Y57">
        <f t="shared" si="8"/>
        <v>42000</v>
      </c>
      <c r="Z57" s="10">
        <f>+'5020'!Z57</f>
        <v>1319</v>
      </c>
      <c r="AA57" s="7">
        <f t="shared" si="9"/>
        <v>1050</v>
      </c>
      <c r="AB57" s="16">
        <f>+'5020'!AB57</f>
        <v>35000</v>
      </c>
      <c r="AC57" s="16">
        <f>+'5020'!AC57</f>
        <v>37400</v>
      </c>
      <c r="AE57">
        <f t="shared" si="10"/>
        <v>43140</v>
      </c>
      <c r="AF57" s="7">
        <f t="shared" si="11"/>
        <v>1078.5</v>
      </c>
      <c r="AG57" s="16">
        <v>34500</v>
      </c>
    </row>
    <row r="58" spans="1:35">
      <c r="B58" s="190" t="s">
        <v>320</v>
      </c>
      <c r="D58" s="16">
        <f>+'5020'!D58</f>
        <v>16800</v>
      </c>
      <c r="E58">
        <f t="shared" si="0"/>
        <v>20160</v>
      </c>
      <c r="F58" s="10">
        <f>+'5020'!F58</f>
        <v>362</v>
      </c>
      <c r="G58" s="7">
        <f t="shared" si="1"/>
        <v>504</v>
      </c>
      <c r="I58" s="16">
        <f>+'5020'!I58</f>
        <v>19200</v>
      </c>
      <c r="J58">
        <f t="shared" si="2"/>
        <v>21600</v>
      </c>
      <c r="K58" s="10">
        <f>+'5020'!K58</f>
        <v>434</v>
      </c>
      <c r="L58" s="7">
        <f t="shared" si="3"/>
        <v>540</v>
      </c>
      <c r="N58" s="16">
        <f>+'5020'!N58</f>
        <v>21600</v>
      </c>
      <c r="O58">
        <f t="shared" si="4"/>
        <v>25920</v>
      </c>
      <c r="P58" s="10">
        <f>+'5020'!P58</f>
        <v>554</v>
      </c>
      <c r="Q58" s="7">
        <f t="shared" si="5"/>
        <v>648</v>
      </c>
      <c r="S58" s="16">
        <f>+'5020'!S58</f>
        <v>24000</v>
      </c>
      <c r="T58">
        <f t="shared" si="6"/>
        <v>29970</v>
      </c>
      <c r="U58" s="10">
        <f>+'5020'!U58</f>
        <v>748</v>
      </c>
      <c r="V58" s="7">
        <f t="shared" si="7"/>
        <v>749.25</v>
      </c>
      <c r="X58" s="16">
        <f>+'5020'!X58</f>
        <v>25950</v>
      </c>
      <c r="Y58">
        <f t="shared" si="8"/>
        <v>33420</v>
      </c>
      <c r="Z58" s="10">
        <f>+'5020'!Z58</f>
        <v>796</v>
      </c>
      <c r="AA58" s="7">
        <f t="shared" si="9"/>
        <v>835.5</v>
      </c>
      <c r="AB58" s="16">
        <f>+'5020'!AB58</f>
        <v>27850</v>
      </c>
      <c r="AC58" s="16">
        <f>+'5020'!AC58</f>
        <v>29800</v>
      </c>
      <c r="AE58">
        <f t="shared" si="10"/>
        <v>36570</v>
      </c>
      <c r="AF58" s="7">
        <f t="shared" si="11"/>
        <v>914.25</v>
      </c>
      <c r="AG58" s="16">
        <v>31150</v>
      </c>
    </row>
    <row r="59" spans="1:35">
      <c r="A59" s="11"/>
      <c r="B59" s="190" t="s">
        <v>321</v>
      </c>
      <c r="C59" s="11"/>
      <c r="D59" s="16">
        <f>+'5020'!D59</f>
        <v>21750</v>
      </c>
      <c r="E59" s="11">
        <f t="shared" si="0"/>
        <v>26100</v>
      </c>
      <c r="F59" s="10">
        <f>+'5020'!F59</f>
        <v>570</v>
      </c>
      <c r="G59" s="7">
        <f t="shared" si="1"/>
        <v>652.5</v>
      </c>
      <c r="H59" s="11"/>
      <c r="I59" s="16">
        <f>+'5020'!I59</f>
        <v>24850</v>
      </c>
      <c r="J59" s="11">
        <f t="shared" si="2"/>
        <v>27960</v>
      </c>
      <c r="K59" s="10">
        <f>+'5020'!K59</f>
        <v>654</v>
      </c>
      <c r="L59" s="7">
        <f t="shared" si="3"/>
        <v>699</v>
      </c>
      <c r="M59" s="11"/>
      <c r="N59" s="16">
        <f>+'5020'!N59</f>
        <v>27950</v>
      </c>
      <c r="O59" s="11">
        <f t="shared" si="4"/>
        <v>33540</v>
      </c>
      <c r="P59" s="10">
        <f>+'5020'!P59</f>
        <v>725</v>
      </c>
      <c r="Q59" s="7">
        <f t="shared" si="5"/>
        <v>838.5</v>
      </c>
      <c r="R59" s="11"/>
      <c r="S59" s="16">
        <f>+'5020'!S59</f>
        <v>31050</v>
      </c>
      <c r="T59" s="11">
        <f t="shared" si="6"/>
        <v>38760</v>
      </c>
      <c r="U59" s="10">
        <f>+'5020'!U59</f>
        <v>930</v>
      </c>
      <c r="V59" s="7">
        <f t="shared" si="7"/>
        <v>969</v>
      </c>
      <c r="W59" s="11"/>
      <c r="X59" s="16">
        <f>+'5020'!X59</f>
        <v>33550</v>
      </c>
      <c r="Y59" s="11">
        <f t="shared" si="8"/>
        <v>43260</v>
      </c>
      <c r="Z59" s="10">
        <f>+'5020'!Z59</f>
        <v>1180</v>
      </c>
      <c r="AA59" s="7">
        <f t="shared" si="9"/>
        <v>1081.5</v>
      </c>
      <c r="AB59" s="16">
        <f>+'5020'!AB59</f>
        <v>36050</v>
      </c>
      <c r="AC59" s="16">
        <f>+'5020'!AC59</f>
        <v>38550</v>
      </c>
      <c r="AD59" s="11"/>
      <c r="AE59" s="11">
        <f t="shared" si="10"/>
        <v>44010</v>
      </c>
      <c r="AF59" s="12">
        <f t="shared" si="11"/>
        <v>1100.25</v>
      </c>
      <c r="AG59" s="16">
        <v>34800</v>
      </c>
      <c r="AH59" s="11"/>
      <c r="AI59" s="11"/>
    </row>
    <row r="60" spans="1:35">
      <c r="B60" s="190" t="s">
        <v>322</v>
      </c>
      <c r="D60" s="16">
        <f>+'5020'!D60</f>
        <v>17300</v>
      </c>
      <c r="E60">
        <f t="shared" si="0"/>
        <v>20760</v>
      </c>
      <c r="F60" s="10">
        <f>+'5020'!F60</f>
        <v>504</v>
      </c>
      <c r="G60" s="7">
        <f t="shared" si="1"/>
        <v>519</v>
      </c>
      <c r="I60" s="16">
        <f>+'5020'!I60</f>
        <v>19750</v>
      </c>
      <c r="J60">
        <f t="shared" si="2"/>
        <v>22230</v>
      </c>
      <c r="K60" s="10">
        <f>+'5020'!K60</f>
        <v>513</v>
      </c>
      <c r="L60" s="7">
        <f t="shared" si="3"/>
        <v>555.75</v>
      </c>
      <c r="N60" s="16">
        <f>+'5020'!N60</f>
        <v>22200</v>
      </c>
      <c r="O60">
        <f t="shared" si="4"/>
        <v>26640</v>
      </c>
      <c r="P60" s="10">
        <f>+'5020'!P60</f>
        <v>617</v>
      </c>
      <c r="Q60" s="7">
        <f t="shared" si="5"/>
        <v>666</v>
      </c>
      <c r="S60" s="16">
        <f>+'5020'!S60</f>
        <v>24650</v>
      </c>
      <c r="T60">
        <f t="shared" si="6"/>
        <v>30780</v>
      </c>
      <c r="U60" s="10">
        <f>+'5020'!U60</f>
        <v>806</v>
      </c>
      <c r="V60" s="7">
        <f t="shared" si="7"/>
        <v>769.5</v>
      </c>
      <c r="X60" s="16">
        <f>+'5020'!X60</f>
        <v>26650</v>
      </c>
      <c r="Y60">
        <f t="shared" si="8"/>
        <v>34320</v>
      </c>
      <c r="Z60" s="10">
        <f>+'5020'!Z60</f>
        <v>832</v>
      </c>
      <c r="AA60" s="7">
        <f t="shared" si="9"/>
        <v>858</v>
      </c>
      <c r="AB60" s="16">
        <f>+'5020'!AB60</f>
        <v>28600</v>
      </c>
      <c r="AC60" s="16">
        <f>+'5020'!AC60</f>
        <v>30600</v>
      </c>
      <c r="AE60">
        <f t="shared" si="10"/>
        <v>34350</v>
      </c>
      <c r="AF60" s="7">
        <f t="shared" si="11"/>
        <v>858.75</v>
      </c>
      <c r="AG60" s="16">
        <v>26650</v>
      </c>
    </row>
    <row r="61" spans="1:35">
      <c r="B61" s="190" t="s">
        <v>1502</v>
      </c>
      <c r="D61" s="16">
        <f>+'5020'!D61</f>
        <v>21150</v>
      </c>
      <c r="E61">
        <f t="shared" si="0"/>
        <v>25380</v>
      </c>
      <c r="F61" s="10">
        <f>+'5020'!F61</f>
        <v>767</v>
      </c>
      <c r="G61" s="7">
        <f t="shared" si="1"/>
        <v>634.5</v>
      </c>
      <c r="I61" s="16">
        <f>+'5020'!I61</f>
        <v>24150</v>
      </c>
      <c r="J61">
        <f t="shared" si="2"/>
        <v>27180</v>
      </c>
      <c r="K61" s="10">
        <f>+'5020'!K61</f>
        <v>850</v>
      </c>
      <c r="L61" s="7">
        <f t="shared" si="3"/>
        <v>679.5</v>
      </c>
      <c r="N61" s="16">
        <f>+'5020'!N61</f>
        <v>27150</v>
      </c>
      <c r="O61">
        <f t="shared" si="4"/>
        <v>32580</v>
      </c>
      <c r="P61" s="10">
        <f>+'5020'!P61</f>
        <v>994</v>
      </c>
      <c r="Q61" s="7">
        <f t="shared" si="5"/>
        <v>814.5</v>
      </c>
      <c r="S61" s="16">
        <f>+'5020'!S61</f>
        <v>30150</v>
      </c>
      <c r="T61">
        <f t="shared" si="6"/>
        <v>37650</v>
      </c>
      <c r="U61" s="10">
        <f>+'5020'!U61</f>
        <v>1276</v>
      </c>
      <c r="V61" s="7">
        <f t="shared" si="7"/>
        <v>941.25</v>
      </c>
      <c r="X61" s="16">
        <f>+'5020'!X61</f>
        <v>32600</v>
      </c>
      <c r="Y61">
        <f t="shared" si="8"/>
        <v>42000</v>
      </c>
      <c r="Z61" s="10">
        <f>+'5020'!Z61</f>
        <v>1319</v>
      </c>
      <c r="AA61" s="7">
        <f t="shared" si="9"/>
        <v>1050</v>
      </c>
      <c r="AB61" s="16">
        <f>+'5020'!AB61</f>
        <v>35000</v>
      </c>
      <c r="AC61" s="16">
        <f>+'5020'!AC61</f>
        <v>37400</v>
      </c>
      <c r="AE61">
        <f t="shared" si="10"/>
        <v>43140</v>
      </c>
      <c r="AF61" s="7">
        <f t="shared" si="11"/>
        <v>1078.5</v>
      </c>
      <c r="AG61" s="16">
        <v>34500</v>
      </c>
    </row>
    <row r="62" spans="1:35">
      <c r="B62" s="190" t="s">
        <v>439</v>
      </c>
      <c r="D62" s="16">
        <f>+'5020'!D62</f>
        <v>18800</v>
      </c>
      <c r="E62">
        <f t="shared" si="0"/>
        <v>22560</v>
      </c>
      <c r="F62" s="10">
        <f>+'5020'!F62</f>
        <v>481</v>
      </c>
      <c r="G62" s="7">
        <f t="shared" si="1"/>
        <v>564</v>
      </c>
      <c r="I62" s="16">
        <f>+'5020'!I62</f>
        <v>21450</v>
      </c>
      <c r="J62">
        <f t="shared" si="2"/>
        <v>24150</v>
      </c>
      <c r="K62" s="10">
        <f>+'5020'!K62</f>
        <v>559</v>
      </c>
      <c r="L62" s="7">
        <f t="shared" si="3"/>
        <v>603.75</v>
      </c>
      <c r="N62" s="16">
        <f>+'5020'!N62</f>
        <v>24150</v>
      </c>
      <c r="O62">
        <f t="shared" si="4"/>
        <v>28980</v>
      </c>
      <c r="P62" s="10">
        <f>+'5020'!P62</f>
        <v>703</v>
      </c>
      <c r="Q62" s="7">
        <f t="shared" si="5"/>
        <v>724.5</v>
      </c>
      <c r="S62" s="16">
        <f>+'5020'!S62</f>
        <v>26800</v>
      </c>
      <c r="T62">
        <f t="shared" si="6"/>
        <v>33450</v>
      </c>
      <c r="U62" s="10">
        <f>+'5020'!U62</f>
        <v>842</v>
      </c>
      <c r="V62" s="7">
        <f t="shared" si="7"/>
        <v>836.25</v>
      </c>
      <c r="X62" s="16">
        <f>+'5020'!X62</f>
        <v>28950</v>
      </c>
      <c r="Y62">
        <f t="shared" si="8"/>
        <v>37320</v>
      </c>
      <c r="Z62" s="10">
        <f>+'5020'!Z62</f>
        <v>1000</v>
      </c>
      <c r="AA62" s="7">
        <f t="shared" si="9"/>
        <v>933</v>
      </c>
      <c r="AB62" s="16">
        <f>+'5020'!AB62</f>
        <v>31100</v>
      </c>
      <c r="AC62" s="16">
        <f>+'5020'!AC62</f>
        <v>33250</v>
      </c>
      <c r="AE62">
        <f t="shared" si="10"/>
        <v>37770</v>
      </c>
      <c r="AF62" s="7">
        <f t="shared" si="11"/>
        <v>944.25</v>
      </c>
      <c r="AG62" s="16">
        <v>29700</v>
      </c>
    </row>
    <row r="63" spans="1:35">
      <c r="B63" s="190" t="s">
        <v>440</v>
      </c>
      <c r="D63" s="16">
        <f>+'5020'!D63</f>
        <v>16800</v>
      </c>
      <c r="E63">
        <f t="shared" si="0"/>
        <v>20160</v>
      </c>
      <c r="F63" s="10">
        <f>+'5020'!F63</f>
        <v>437</v>
      </c>
      <c r="G63" s="7">
        <f t="shared" si="1"/>
        <v>504</v>
      </c>
      <c r="I63" s="16">
        <f>+'5020'!I63</f>
        <v>19200</v>
      </c>
      <c r="J63">
        <f t="shared" si="2"/>
        <v>21600</v>
      </c>
      <c r="K63" s="10">
        <f>+'5020'!K63</f>
        <v>467</v>
      </c>
      <c r="L63" s="7">
        <f t="shared" si="3"/>
        <v>540</v>
      </c>
      <c r="N63" s="16">
        <f>+'5020'!N63</f>
        <v>21600</v>
      </c>
      <c r="O63">
        <f t="shared" si="4"/>
        <v>25920</v>
      </c>
      <c r="P63" s="10">
        <f>+'5020'!P63</f>
        <v>554</v>
      </c>
      <c r="Q63" s="7">
        <f t="shared" si="5"/>
        <v>648</v>
      </c>
      <c r="S63" s="16">
        <f>+'5020'!S63</f>
        <v>24000</v>
      </c>
      <c r="T63">
        <f t="shared" si="6"/>
        <v>29970</v>
      </c>
      <c r="U63" s="10">
        <f>+'5020'!U63</f>
        <v>701</v>
      </c>
      <c r="V63" s="7">
        <f t="shared" si="7"/>
        <v>749.25</v>
      </c>
      <c r="X63" s="16">
        <f>+'5020'!X63</f>
        <v>25950</v>
      </c>
      <c r="Y63">
        <f t="shared" si="8"/>
        <v>33420</v>
      </c>
      <c r="Z63" s="10">
        <f>+'5020'!Z63</f>
        <v>782</v>
      </c>
      <c r="AA63" s="7">
        <f t="shared" si="9"/>
        <v>835.5</v>
      </c>
      <c r="AB63" s="16">
        <f>+'5020'!AB63</f>
        <v>27850</v>
      </c>
      <c r="AC63" s="16">
        <f>+'5020'!AC63</f>
        <v>29800</v>
      </c>
      <c r="AE63">
        <f t="shared" si="10"/>
        <v>33720</v>
      </c>
      <c r="AF63" s="7">
        <f t="shared" si="11"/>
        <v>843</v>
      </c>
      <c r="AG63" s="16">
        <v>26400</v>
      </c>
    </row>
    <row r="64" spans="1:35">
      <c r="A64" s="11"/>
      <c r="B64" s="190" t="s">
        <v>441</v>
      </c>
      <c r="C64" s="11"/>
      <c r="D64" s="16">
        <f>+'5020'!D64</f>
        <v>21500</v>
      </c>
      <c r="E64" s="11">
        <f t="shared" si="0"/>
        <v>25800</v>
      </c>
      <c r="F64" s="10">
        <f>+'5020'!F64</f>
        <v>546</v>
      </c>
      <c r="G64" s="7">
        <f t="shared" si="1"/>
        <v>645</v>
      </c>
      <c r="H64" s="11"/>
      <c r="I64" s="16">
        <f>+'5020'!I64</f>
        <v>24550</v>
      </c>
      <c r="J64" s="11">
        <f t="shared" si="2"/>
        <v>27630</v>
      </c>
      <c r="K64" s="10">
        <f>+'5020'!K64</f>
        <v>550</v>
      </c>
      <c r="L64" s="7">
        <f t="shared" si="3"/>
        <v>690.75</v>
      </c>
      <c r="M64" s="11"/>
      <c r="N64" s="16">
        <f>+'5020'!N64</f>
        <v>27600</v>
      </c>
      <c r="O64" s="11">
        <f t="shared" si="4"/>
        <v>33120</v>
      </c>
      <c r="P64" s="10">
        <f>+'5020'!P64</f>
        <v>683</v>
      </c>
      <c r="Q64" s="7">
        <f t="shared" si="5"/>
        <v>828</v>
      </c>
      <c r="R64" s="11"/>
      <c r="S64" s="16">
        <f>+'5020'!S64</f>
        <v>30650</v>
      </c>
      <c r="T64" s="11">
        <f t="shared" si="6"/>
        <v>38280</v>
      </c>
      <c r="U64" s="10">
        <f>+'5020'!U64</f>
        <v>897</v>
      </c>
      <c r="V64" s="7">
        <f t="shared" si="7"/>
        <v>957</v>
      </c>
      <c r="W64" s="11"/>
      <c r="X64" s="16">
        <f>+'5020'!X64</f>
        <v>33150</v>
      </c>
      <c r="Y64" s="11">
        <f t="shared" si="8"/>
        <v>42720</v>
      </c>
      <c r="Z64" s="10">
        <f>+'5020'!Z64</f>
        <v>1022</v>
      </c>
      <c r="AA64" s="7">
        <f t="shared" si="9"/>
        <v>1068</v>
      </c>
      <c r="AB64" s="16">
        <f>+'5020'!AB64</f>
        <v>35600</v>
      </c>
      <c r="AC64" s="16">
        <f>+'5020'!AC64</f>
        <v>38050</v>
      </c>
      <c r="AD64" s="11"/>
      <c r="AE64" s="11">
        <f t="shared" si="10"/>
        <v>42390</v>
      </c>
      <c r="AF64" s="12">
        <f t="shared" si="11"/>
        <v>1059.75</v>
      </c>
      <c r="AG64" s="16">
        <v>32600</v>
      </c>
      <c r="AH64" s="11"/>
      <c r="AI64" s="11"/>
    </row>
    <row r="65" spans="1:35">
      <c r="B65" s="190" t="s">
        <v>442</v>
      </c>
      <c r="D65" s="16">
        <f>+'5020'!D65</f>
        <v>18000</v>
      </c>
      <c r="E65">
        <f t="shared" si="0"/>
        <v>21600</v>
      </c>
      <c r="F65" s="10">
        <f>+'5020'!F65</f>
        <v>484</v>
      </c>
      <c r="G65" s="7">
        <f t="shared" si="1"/>
        <v>540</v>
      </c>
      <c r="I65" s="16">
        <f>+'5020'!I65</f>
        <v>20600</v>
      </c>
      <c r="J65">
        <f t="shared" si="2"/>
        <v>23160</v>
      </c>
      <c r="K65" s="10">
        <f>+'5020'!K65</f>
        <v>548</v>
      </c>
      <c r="L65" s="7">
        <f t="shared" si="3"/>
        <v>579</v>
      </c>
      <c r="N65" s="16">
        <f>+'5020'!N65</f>
        <v>23150</v>
      </c>
      <c r="O65">
        <f t="shared" si="4"/>
        <v>27780</v>
      </c>
      <c r="P65" s="10">
        <f>+'5020'!P65</f>
        <v>681</v>
      </c>
      <c r="Q65" s="7">
        <f t="shared" si="5"/>
        <v>694.5</v>
      </c>
      <c r="S65" s="16">
        <f>+'5020'!S65</f>
        <v>25700</v>
      </c>
      <c r="T65">
        <f t="shared" si="6"/>
        <v>32100</v>
      </c>
      <c r="U65" s="10">
        <f>+'5020'!U65</f>
        <v>904</v>
      </c>
      <c r="V65" s="7">
        <f t="shared" si="7"/>
        <v>802.5</v>
      </c>
      <c r="X65" s="16">
        <f>+'5020'!X65</f>
        <v>27800</v>
      </c>
      <c r="Y65">
        <f t="shared" si="8"/>
        <v>35820</v>
      </c>
      <c r="Z65" s="10">
        <f>+'5020'!Z65</f>
        <v>932</v>
      </c>
      <c r="AA65" s="7">
        <f t="shared" si="9"/>
        <v>895.5</v>
      </c>
      <c r="AB65" s="16">
        <f>+'5020'!AB65</f>
        <v>29850</v>
      </c>
      <c r="AC65" s="16">
        <f>+'5020'!AC65</f>
        <v>31900</v>
      </c>
      <c r="AE65">
        <f t="shared" si="10"/>
        <v>38190</v>
      </c>
      <c r="AF65" s="7">
        <f t="shared" si="11"/>
        <v>954.75</v>
      </c>
      <c r="AG65" s="16">
        <v>31750</v>
      </c>
    </row>
    <row r="66" spans="1:35">
      <c r="B66" s="190" t="s">
        <v>443</v>
      </c>
      <c r="D66" s="16">
        <f>+'5020'!D66</f>
        <v>19900</v>
      </c>
      <c r="E66">
        <f t="shared" si="0"/>
        <v>23880</v>
      </c>
      <c r="F66" s="10">
        <f>+'5020'!F66</f>
        <v>461</v>
      </c>
      <c r="G66" s="7">
        <f t="shared" si="1"/>
        <v>597</v>
      </c>
      <c r="I66" s="16">
        <f>+'5020'!I66</f>
        <v>22750</v>
      </c>
      <c r="J66">
        <f t="shared" si="2"/>
        <v>25590</v>
      </c>
      <c r="K66" s="10">
        <f>+'5020'!K66</f>
        <v>462</v>
      </c>
      <c r="L66" s="7">
        <f t="shared" si="3"/>
        <v>639.75</v>
      </c>
      <c r="N66" s="16">
        <f>+'5020'!N66</f>
        <v>25600</v>
      </c>
      <c r="O66">
        <f t="shared" si="4"/>
        <v>30720</v>
      </c>
      <c r="P66" s="10">
        <f>+'5020'!P66</f>
        <v>554</v>
      </c>
      <c r="Q66" s="7">
        <f t="shared" si="5"/>
        <v>768</v>
      </c>
      <c r="S66" s="16">
        <f>+'5020'!S66</f>
        <v>28400</v>
      </c>
      <c r="T66">
        <f t="shared" si="6"/>
        <v>35460</v>
      </c>
      <c r="U66" s="10">
        <f>+'5020'!U66</f>
        <v>760</v>
      </c>
      <c r="V66" s="7">
        <f t="shared" si="7"/>
        <v>886.5</v>
      </c>
      <c r="X66" s="16">
        <f>+'5020'!X66</f>
        <v>30700</v>
      </c>
      <c r="Y66">
        <f t="shared" si="8"/>
        <v>39540</v>
      </c>
      <c r="Z66" s="10">
        <f>+'5020'!Z66</f>
        <v>786</v>
      </c>
      <c r="AA66" s="7">
        <f t="shared" si="9"/>
        <v>988.5</v>
      </c>
      <c r="AB66" s="16">
        <f>+'5020'!AB66</f>
        <v>32950</v>
      </c>
      <c r="AC66" s="16">
        <f>+'5020'!AC66</f>
        <v>35250</v>
      </c>
      <c r="AE66">
        <f t="shared" si="10"/>
        <v>38700</v>
      </c>
      <c r="AF66" s="7">
        <f t="shared" si="11"/>
        <v>967.5</v>
      </c>
      <c r="AG66" s="16">
        <v>29250</v>
      </c>
    </row>
    <row r="67" spans="1:35">
      <c r="B67" s="190" t="s">
        <v>444</v>
      </c>
      <c r="D67" s="16">
        <f>+'5020'!D67</f>
        <v>17400</v>
      </c>
      <c r="E67">
        <f t="shared" si="0"/>
        <v>20880</v>
      </c>
      <c r="F67" s="10">
        <f>+'5020'!F67</f>
        <v>454</v>
      </c>
      <c r="G67" s="7">
        <f t="shared" si="1"/>
        <v>522</v>
      </c>
      <c r="I67" s="16">
        <f>+'5020'!I67</f>
        <v>19850</v>
      </c>
      <c r="J67">
        <f t="shared" si="2"/>
        <v>22350</v>
      </c>
      <c r="K67" s="10">
        <f>+'5020'!K67</f>
        <v>500</v>
      </c>
      <c r="L67" s="7">
        <f t="shared" si="3"/>
        <v>558.75</v>
      </c>
      <c r="N67" s="16">
        <f>+'5020'!N67</f>
        <v>22350</v>
      </c>
      <c r="O67">
        <f t="shared" si="4"/>
        <v>26820</v>
      </c>
      <c r="P67" s="10">
        <f>+'5020'!P67</f>
        <v>554</v>
      </c>
      <c r="Q67" s="7">
        <f t="shared" si="5"/>
        <v>670.5</v>
      </c>
      <c r="S67" s="16">
        <f>+'5020'!S67</f>
        <v>24800</v>
      </c>
      <c r="T67">
        <f t="shared" si="6"/>
        <v>30960</v>
      </c>
      <c r="U67" s="10">
        <f>+'5020'!U67</f>
        <v>804</v>
      </c>
      <c r="V67" s="7">
        <f t="shared" si="7"/>
        <v>774</v>
      </c>
      <c r="X67" s="16">
        <f>+'5020'!X67</f>
        <v>26800</v>
      </c>
      <c r="Y67">
        <f t="shared" si="8"/>
        <v>34560</v>
      </c>
      <c r="Z67" s="10">
        <f>+'5020'!Z67</f>
        <v>960</v>
      </c>
      <c r="AA67" s="7">
        <f t="shared" si="9"/>
        <v>864</v>
      </c>
      <c r="AB67" s="16">
        <f>+'5020'!AB67</f>
        <v>28800</v>
      </c>
      <c r="AC67" s="16">
        <f>+'5020'!AC67</f>
        <v>30800</v>
      </c>
      <c r="AE67">
        <f t="shared" si="10"/>
        <v>35430</v>
      </c>
      <c r="AF67" s="7">
        <f t="shared" si="11"/>
        <v>885.75</v>
      </c>
      <c r="AG67" s="16">
        <v>28250</v>
      </c>
    </row>
    <row r="68" spans="1:35">
      <c r="B68" s="190" t="s">
        <v>445</v>
      </c>
      <c r="D68" s="16">
        <f>+'5020'!D68</f>
        <v>16800</v>
      </c>
      <c r="E68">
        <f t="shared" si="0"/>
        <v>20160</v>
      </c>
      <c r="F68" s="10">
        <f>+'5020'!F68</f>
        <v>460</v>
      </c>
      <c r="G68" s="7">
        <f t="shared" si="1"/>
        <v>504</v>
      </c>
      <c r="I68" s="16">
        <f>+'5020'!I68</f>
        <v>19200</v>
      </c>
      <c r="J68">
        <f t="shared" si="2"/>
        <v>21600</v>
      </c>
      <c r="K68" s="10">
        <f>+'5020'!K68</f>
        <v>464</v>
      </c>
      <c r="L68" s="7">
        <f t="shared" si="3"/>
        <v>540</v>
      </c>
      <c r="N68" s="16">
        <f>+'5020'!N68</f>
        <v>21600</v>
      </c>
      <c r="O68">
        <f t="shared" si="4"/>
        <v>25920</v>
      </c>
      <c r="P68" s="10">
        <f>+'5020'!P68</f>
        <v>554</v>
      </c>
      <c r="Q68" s="7">
        <f t="shared" si="5"/>
        <v>648</v>
      </c>
      <c r="S68" s="16">
        <f>+'5020'!S68</f>
        <v>24000</v>
      </c>
      <c r="T68">
        <f t="shared" si="6"/>
        <v>29970</v>
      </c>
      <c r="U68" s="10">
        <f>+'5020'!U68</f>
        <v>738</v>
      </c>
      <c r="V68" s="7">
        <f t="shared" si="7"/>
        <v>749.25</v>
      </c>
      <c r="X68" s="16">
        <f>+'5020'!X68</f>
        <v>25950</v>
      </c>
      <c r="Y68">
        <f t="shared" si="8"/>
        <v>33420</v>
      </c>
      <c r="Z68" s="10">
        <f>+'5020'!Z68</f>
        <v>760</v>
      </c>
      <c r="AA68" s="7">
        <f t="shared" si="9"/>
        <v>835.5</v>
      </c>
      <c r="AB68" s="16">
        <f>+'5020'!AB68</f>
        <v>27850</v>
      </c>
      <c r="AC68" s="16">
        <f>+'5020'!AC68</f>
        <v>29800</v>
      </c>
      <c r="AE68">
        <f t="shared" si="10"/>
        <v>33720</v>
      </c>
      <c r="AF68" s="7">
        <f t="shared" si="11"/>
        <v>843</v>
      </c>
      <c r="AG68" s="16">
        <v>26400</v>
      </c>
    </row>
    <row r="69" spans="1:35">
      <c r="A69" s="11"/>
      <c r="B69" s="190" t="s">
        <v>446</v>
      </c>
      <c r="C69" s="11"/>
      <c r="D69" s="16">
        <f>+'5020'!D69</f>
        <v>16800</v>
      </c>
      <c r="E69" s="11">
        <f t="shared" si="0"/>
        <v>20160</v>
      </c>
      <c r="F69" s="10">
        <f>+'5020'!F69</f>
        <v>447</v>
      </c>
      <c r="G69" s="7">
        <f t="shared" si="1"/>
        <v>504</v>
      </c>
      <c r="H69" s="11"/>
      <c r="I69" s="16">
        <f>+'5020'!I69</f>
        <v>19200</v>
      </c>
      <c r="J69" s="11">
        <f t="shared" si="2"/>
        <v>21600</v>
      </c>
      <c r="K69" s="10">
        <f>+'5020'!K69</f>
        <v>448</v>
      </c>
      <c r="L69" s="7">
        <f t="shared" si="3"/>
        <v>540</v>
      </c>
      <c r="M69" s="11"/>
      <c r="N69" s="16">
        <f>+'5020'!N69</f>
        <v>21600</v>
      </c>
      <c r="O69" s="11">
        <f t="shared" si="4"/>
        <v>25920</v>
      </c>
      <c r="P69" s="10">
        <f>+'5020'!P69</f>
        <v>566</v>
      </c>
      <c r="Q69" s="7">
        <f t="shared" si="5"/>
        <v>648</v>
      </c>
      <c r="R69" s="11"/>
      <c r="S69" s="16">
        <f>+'5020'!S69</f>
        <v>24000</v>
      </c>
      <c r="T69" s="11">
        <f t="shared" si="6"/>
        <v>29970</v>
      </c>
      <c r="U69" s="10">
        <f>+'5020'!U69</f>
        <v>763</v>
      </c>
      <c r="V69" s="7">
        <f t="shared" si="7"/>
        <v>749.25</v>
      </c>
      <c r="W69" s="11"/>
      <c r="X69" s="16">
        <f>+'5020'!X69</f>
        <v>25950</v>
      </c>
      <c r="Y69" s="11">
        <f t="shared" si="8"/>
        <v>33420</v>
      </c>
      <c r="Z69" s="10">
        <f>+'5020'!Z69</f>
        <v>787</v>
      </c>
      <c r="AA69" s="7">
        <f t="shared" si="9"/>
        <v>835.5</v>
      </c>
      <c r="AB69" s="16">
        <f>+'5020'!AB69</f>
        <v>27850</v>
      </c>
      <c r="AC69" s="16">
        <f>+'5020'!AC69</f>
        <v>29800</v>
      </c>
      <c r="AD69" s="11"/>
      <c r="AE69" s="11">
        <f t="shared" si="10"/>
        <v>36900</v>
      </c>
      <c r="AF69" s="12">
        <f t="shared" si="11"/>
        <v>922.5</v>
      </c>
      <c r="AG69" s="16">
        <v>31700</v>
      </c>
      <c r="AH69" s="11"/>
      <c r="AI69" s="11"/>
    </row>
    <row r="70" spans="1:35">
      <c r="B70" s="190" t="s">
        <v>1039</v>
      </c>
      <c r="D70" s="16">
        <f>+'5020'!D70</f>
        <v>22650</v>
      </c>
      <c r="E70">
        <f t="shared" si="0"/>
        <v>27180</v>
      </c>
      <c r="F70" s="10">
        <f>+'5020'!F70</f>
        <v>638</v>
      </c>
      <c r="G70" s="7">
        <f t="shared" si="1"/>
        <v>679.5</v>
      </c>
      <c r="I70" s="16">
        <f>+'5020'!I70</f>
        <v>25850</v>
      </c>
      <c r="J70">
        <f t="shared" si="2"/>
        <v>29100</v>
      </c>
      <c r="K70" s="10">
        <f>+'5020'!K70</f>
        <v>694</v>
      </c>
      <c r="L70" s="7">
        <f t="shared" si="3"/>
        <v>727.5</v>
      </c>
      <c r="N70" s="16">
        <f>+'5020'!N70</f>
        <v>29100</v>
      </c>
      <c r="O70">
        <f t="shared" si="4"/>
        <v>34920</v>
      </c>
      <c r="P70" s="10">
        <f>+'5020'!P70</f>
        <v>801</v>
      </c>
      <c r="Q70" s="7">
        <f t="shared" si="5"/>
        <v>873</v>
      </c>
      <c r="S70" s="16">
        <f>+'5020'!S70</f>
        <v>32300</v>
      </c>
      <c r="T70">
        <f t="shared" si="6"/>
        <v>40320</v>
      </c>
      <c r="U70" s="10">
        <f>+'5020'!U70</f>
        <v>1021</v>
      </c>
      <c r="V70" s="7">
        <f t="shared" si="7"/>
        <v>1008</v>
      </c>
      <c r="X70" s="16">
        <f>+'5020'!X70</f>
        <v>34900</v>
      </c>
      <c r="Y70">
        <f t="shared" si="8"/>
        <v>45000</v>
      </c>
      <c r="Z70" s="10">
        <f>+'5020'!Z70</f>
        <v>1123</v>
      </c>
      <c r="AA70" s="7">
        <f t="shared" si="9"/>
        <v>1125</v>
      </c>
      <c r="AB70" s="16">
        <f>+'5020'!AB70</f>
        <v>37500</v>
      </c>
      <c r="AC70" s="16">
        <f>+'5020'!AC70</f>
        <v>40100</v>
      </c>
      <c r="AE70">
        <f t="shared" si="10"/>
        <v>46290</v>
      </c>
      <c r="AF70" s="7">
        <f t="shared" si="11"/>
        <v>1157.25</v>
      </c>
      <c r="AG70" s="16">
        <v>37050</v>
      </c>
    </row>
    <row r="71" spans="1:35">
      <c r="B71" s="190" t="s">
        <v>830</v>
      </c>
      <c r="D71" s="16">
        <f>+'5020'!D71</f>
        <v>16800</v>
      </c>
      <c r="E71">
        <f t="shared" si="0"/>
        <v>20160</v>
      </c>
      <c r="F71" s="10">
        <f>+'5020'!F71</f>
        <v>437</v>
      </c>
      <c r="G71" s="7">
        <f t="shared" si="1"/>
        <v>504</v>
      </c>
      <c r="I71" s="16">
        <f>+'5020'!I71</f>
        <v>19200</v>
      </c>
      <c r="J71">
        <f t="shared" si="2"/>
        <v>21600</v>
      </c>
      <c r="K71" s="10">
        <f>+'5020'!K71</f>
        <v>467</v>
      </c>
      <c r="L71" s="7">
        <f t="shared" si="3"/>
        <v>540</v>
      </c>
      <c r="N71" s="16">
        <f>+'5020'!N71</f>
        <v>21600</v>
      </c>
      <c r="O71">
        <f t="shared" si="4"/>
        <v>25920</v>
      </c>
      <c r="P71" s="10">
        <f>+'5020'!P71</f>
        <v>554</v>
      </c>
      <c r="Q71" s="7">
        <f t="shared" si="5"/>
        <v>648</v>
      </c>
      <c r="S71" s="16">
        <f>+'5020'!S71</f>
        <v>24000</v>
      </c>
      <c r="T71">
        <f t="shared" si="6"/>
        <v>29970</v>
      </c>
      <c r="U71" s="10">
        <f>+'5020'!U71</f>
        <v>701</v>
      </c>
      <c r="V71" s="7">
        <f t="shared" si="7"/>
        <v>749.25</v>
      </c>
      <c r="X71" s="16">
        <f>+'5020'!X71</f>
        <v>25950</v>
      </c>
      <c r="Y71">
        <f t="shared" si="8"/>
        <v>33420</v>
      </c>
      <c r="Z71" s="10">
        <f>+'5020'!Z71</f>
        <v>782</v>
      </c>
      <c r="AA71" s="7">
        <f t="shared" si="9"/>
        <v>835.5</v>
      </c>
      <c r="AB71" s="16">
        <f>+'5020'!AB71</f>
        <v>27850</v>
      </c>
      <c r="AC71" s="16">
        <f>+'5020'!AC71</f>
        <v>29800</v>
      </c>
      <c r="AE71">
        <f t="shared" si="10"/>
        <v>33720</v>
      </c>
      <c r="AF71" s="7">
        <f t="shared" si="11"/>
        <v>843</v>
      </c>
      <c r="AG71" s="16">
        <v>26400</v>
      </c>
    </row>
    <row r="72" spans="1:35">
      <c r="B72" s="190" t="s">
        <v>865</v>
      </c>
      <c r="D72" s="16">
        <f>+'5020'!D72</f>
        <v>22650</v>
      </c>
      <c r="E72">
        <f t="shared" si="0"/>
        <v>27180</v>
      </c>
      <c r="F72" s="10">
        <f>+'5020'!F72</f>
        <v>638</v>
      </c>
      <c r="G72" s="7">
        <f t="shared" si="1"/>
        <v>679.5</v>
      </c>
      <c r="I72" s="16">
        <f>+'5020'!I72</f>
        <v>25850</v>
      </c>
      <c r="J72">
        <f t="shared" si="2"/>
        <v>29100</v>
      </c>
      <c r="K72" s="10">
        <f>+'5020'!K72</f>
        <v>694</v>
      </c>
      <c r="L72" s="7">
        <f t="shared" si="3"/>
        <v>727.5</v>
      </c>
      <c r="N72" s="16">
        <f>+'5020'!N72</f>
        <v>29100</v>
      </c>
      <c r="O72">
        <f t="shared" si="4"/>
        <v>34920</v>
      </c>
      <c r="P72" s="10">
        <f>+'5020'!P72</f>
        <v>801</v>
      </c>
      <c r="Q72" s="7">
        <f t="shared" si="5"/>
        <v>873</v>
      </c>
      <c r="S72" s="16">
        <f>+'5020'!S72</f>
        <v>32300</v>
      </c>
      <c r="T72">
        <f t="shared" si="6"/>
        <v>40320</v>
      </c>
      <c r="U72" s="10">
        <f>+'5020'!U72</f>
        <v>1021</v>
      </c>
      <c r="V72" s="7">
        <f t="shared" si="7"/>
        <v>1008</v>
      </c>
      <c r="X72" s="16">
        <f>+'5020'!X72</f>
        <v>34900</v>
      </c>
      <c r="Y72">
        <f t="shared" si="8"/>
        <v>45000</v>
      </c>
      <c r="Z72" s="10">
        <f>+'5020'!Z72</f>
        <v>1123</v>
      </c>
      <c r="AA72" s="7">
        <f t="shared" si="9"/>
        <v>1125</v>
      </c>
      <c r="AB72" s="16">
        <f>+'5020'!AB72</f>
        <v>37500</v>
      </c>
      <c r="AC72" s="16">
        <f>+'5020'!AC72</f>
        <v>40100</v>
      </c>
      <c r="AE72">
        <f t="shared" si="10"/>
        <v>46290</v>
      </c>
      <c r="AF72" s="7">
        <f t="shared" si="11"/>
        <v>1157.25</v>
      </c>
      <c r="AG72" s="16">
        <v>37050</v>
      </c>
    </row>
    <row r="73" spans="1:35">
      <c r="B73" s="190" t="s">
        <v>448</v>
      </c>
      <c r="D73" s="16">
        <f>+'5020'!D73</f>
        <v>16800</v>
      </c>
      <c r="E73">
        <f t="shared" si="0"/>
        <v>20160</v>
      </c>
      <c r="F73" s="10">
        <f>+'5020'!F73</f>
        <v>460</v>
      </c>
      <c r="G73" s="7">
        <f t="shared" si="1"/>
        <v>504</v>
      </c>
      <c r="I73" s="16">
        <f>+'5020'!I73</f>
        <v>19200</v>
      </c>
      <c r="J73">
        <f t="shared" si="2"/>
        <v>21600</v>
      </c>
      <c r="K73" s="10">
        <f>+'5020'!K73</f>
        <v>499</v>
      </c>
      <c r="L73" s="7">
        <f t="shared" si="3"/>
        <v>540</v>
      </c>
      <c r="N73" s="16">
        <f>+'5020'!N73</f>
        <v>21600</v>
      </c>
      <c r="O73">
        <f t="shared" si="4"/>
        <v>25920</v>
      </c>
      <c r="P73" s="10">
        <f>+'5020'!P73</f>
        <v>554</v>
      </c>
      <c r="Q73" s="7">
        <f t="shared" si="5"/>
        <v>648</v>
      </c>
      <c r="S73" s="16">
        <f>+'5020'!S73</f>
        <v>24000</v>
      </c>
      <c r="T73">
        <f t="shared" si="6"/>
        <v>29970</v>
      </c>
      <c r="U73" s="10">
        <f>+'5020'!U73</f>
        <v>699</v>
      </c>
      <c r="V73" s="7">
        <f t="shared" si="7"/>
        <v>749.25</v>
      </c>
      <c r="X73" s="16">
        <f>+'5020'!X73</f>
        <v>25950</v>
      </c>
      <c r="Y73">
        <f t="shared" si="8"/>
        <v>33420</v>
      </c>
      <c r="Z73" s="10">
        <f>+'5020'!Z73</f>
        <v>744</v>
      </c>
      <c r="AA73" s="7">
        <f t="shared" si="9"/>
        <v>835.5</v>
      </c>
      <c r="AB73" s="16">
        <f>+'5020'!AB73</f>
        <v>27850</v>
      </c>
      <c r="AC73" s="16">
        <f>+'5020'!AC73</f>
        <v>29800</v>
      </c>
      <c r="AE73">
        <f t="shared" si="10"/>
        <v>33720</v>
      </c>
      <c r="AF73" s="7">
        <f t="shared" si="11"/>
        <v>843</v>
      </c>
      <c r="AG73" s="16">
        <v>26400</v>
      </c>
    </row>
    <row r="74" spans="1:35">
      <c r="F74" s="6"/>
      <c r="G74" s="7"/>
      <c r="K74" s="6"/>
      <c r="L74" s="7"/>
      <c r="P74" s="6"/>
      <c r="Q74" s="7"/>
      <c r="U74" s="6"/>
      <c r="V74" s="7"/>
      <c r="Z74" s="6"/>
      <c r="AA74" s="7"/>
      <c r="AF74" s="7"/>
    </row>
    <row r="75" spans="1:35">
      <c r="F75" s="6"/>
      <c r="G75" s="7"/>
      <c r="K75" s="6"/>
      <c r="L75" s="7"/>
      <c r="P75" s="6"/>
      <c r="Q75" s="7"/>
      <c r="U75" s="6"/>
      <c r="V75" s="7"/>
      <c r="Z75" s="6"/>
      <c r="AA75" s="7"/>
      <c r="AF75" s="7"/>
    </row>
    <row r="76" spans="1:35">
      <c r="F76" s="6"/>
      <c r="G76" s="7"/>
      <c r="K76" s="6"/>
      <c r="L76" s="7"/>
      <c r="P76" s="6"/>
      <c r="Q76" s="7"/>
      <c r="U76" s="6"/>
      <c r="V76" s="7"/>
      <c r="Z76" s="6"/>
      <c r="AA76" s="7"/>
      <c r="AF76" s="7"/>
    </row>
    <row r="77" spans="1:35">
      <c r="F77" s="6"/>
      <c r="G77" s="7"/>
      <c r="K77" s="6"/>
      <c r="L77" s="7"/>
      <c r="P77" s="6"/>
      <c r="Q77" s="7"/>
      <c r="U77" s="6"/>
      <c r="V77" s="7"/>
      <c r="Z77" s="6"/>
      <c r="AA77" s="7"/>
      <c r="AF77" s="7"/>
    </row>
    <row r="78" spans="1:35">
      <c r="F78" s="6"/>
      <c r="G78" s="7"/>
      <c r="K78" s="6"/>
      <c r="L78" s="7"/>
      <c r="P78" s="6"/>
      <c r="Q78" s="7"/>
      <c r="U78" s="6"/>
      <c r="V78" s="7"/>
      <c r="Z78" s="6"/>
      <c r="AA78" s="7"/>
      <c r="AF78" s="7"/>
    </row>
    <row r="79" spans="1:35">
      <c r="F79" s="6"/>
      <c r="G79" s="7"/>
      <c r="K79" s="6"/>
      <c r="L79" s="7"/>
      <c r="P79" s="6"/>
      <c r="Q79" s="7"/>
      <c r="U79" s="6"/>
      <c r="V79" s="7"/>
      <c r="Z79" s="6"/>
      <c r="AA79" s="7"/>
      <c r="AF79" s="7"/>
    </row>
    <row r="80" spans="1:35">
      <c r="F80" s="6"/>
      <c r="G80" s="7"/>
      <c r="K80" s="6"/>
      <c r="L80" s="7"/>
      <c r="P80" s="6"/>
      <c r="Q80" s="7"/>
      <c r="U80" s="6"/>
      <c r="V80" s="7"/>
      <c r="Z80" s="6"/>
      <c r="AA80" s="7"/>
      <c r="AF80" s="7"/>
    </row>
    <row r="81" spans="4:32">
      <c r="F81" s="6"/>
      <c r="G81" s="7"/>
      <c r="K81" s="6"/>
      <c r="L81" s="7"/>
      <c r="P81" s="6"/>
      <c r="Q81" s="7"/>
      <c r="U81" s="6"/>
      <c r="V81" s="7"/>
      <c r="Z81" s="6"/>
      <c r="AA81" s="7"/>
      <c r="AF81" s="7"/>
    </row>
    <row r="82" spans="4:32">
      <c r="F82" s="6"/>
      <c r="G82" s="7"/>
      <c r="K82" s="6"/>
      <c r="L82" s="7"/>
      <c r="P82" s="6"/>
      <c r="Q82" s="7"/>
      <c r="U82" s="6"/>
      <c r="V82" s="7"/>
      <c r="Z82" s="6"/>
      <c r="AA82" s="7"/>
      <c r="AF82" s="7"/>
    </row>
    <row r="83" spans="4:32">
      <c r="F83" s="6"/>
      <c r="G83" s="7"/>
      <c r="K83" s="6"/>
      <c r="L83" s="7"/>
      <c r="P83" s="6"/>
      <c r="Q83" s="7"/>
      <c r="U83" s="6"/>
      <c r="V83" s="7"/>
      <c r="Z83" s="6"/>
      <c r="AA83" s="7"/>
      <c r="AF83" s="7"/>
    </row>
    <row r="84" spans="4:32">
      <c r="D84" t="s">
        <v>363</v>
      </c>
      <c r="F84" s="6"/>
      <c r="G84" s="7"/>
      <c r="K84" s="6"/>
      <c r="L84" s="7"/>
      <c r="P84" s="6"/>
      <c r="Q84" s="7"/>
      <c r="U84" s="6"/>
      <c r="V84" s="7"/>
      <c r="Z84" s="6"/>
      <c r="AA84" s="7"/>
      <c r="AF84" s="7"/>
    </row>
    <row r="85" spans="4:32">
      <c r="F85" s="6"/>
      <c r="G85" s="7"/>
      <c r="K85" s="6"/>
      <c r="L85" s="7"/>
      <c r="P85" s="6"/>
      <c r="Q85" s="7"/>
      <c r="U85" s="6"/>
      <c r="V85" s="7"/>
      <c r="Z85" s="6"/>
      <c r="AA85" s="7"/>
      <c r="AF85" s="7"/>
    </row>
    <row r="86" spans="4:32">
      <c r="F86" s="6"/>
      <c r="G86" s="7"/>
      <c r="K86" s="6"/>
      <c r="L86" s="7"/>
      <c r="P86" s="6"/>
      <c r="Q86" s="7"/>
      <c r="U86" s="6"/>
      <c r="V86" s="7"/>
      <c r="Z86" s="6"/>
      <c r="AA86" s="7"/>
      <c r="AF86" s="7"/>
    </row>
    <row r="87" spans="4:32">
      <c r="F87" s="6"/>
      <c r="G87" s="7"/>
      <c r="K87" s="6"/>
      <c r="L87" s="7"/>
      <c r="P87" s="6"/>
      <c r="Q87" s="7"/>
      <c r="U87" s="6"/>
      <c r="V87" s="7"/>
      <c r="Z87" s="6"/>
      <c r="AA87" s="7"/>
      <c r="AF87" s="7"/>
    </row>
    <row r="88" spans="4:32">
      <c r="F88" s="6"/>
      <c r="G88" s="7"/>
      <c r="K88" s="6"/>
      <c r="L88" s="7"/>
      <c r="P88" s="6"/>
      <c r="Q88" s="7"/>
      <c r="U88" s="6"/>
      <c r="V88" s="7"/>
      <c r="Z88" s="6"/>
      <c r="AA88" s="7"/>
      <c r="AF88" s="7"/>
    </row>
    <row r="89" spans="4:32">
      <c r="F89" s="6"/>
      <c r="G89" s="7"/>
      <c r="K89" s="6"/>
      <c r="L89" s="7"/>
      <c r="P89" s="6"/>
      <c r="Q89" s="7"/>
      <c r="U89" s="6"/>
      <c r="V89" s="7"/>
      <c r="Z89" s="6"/>
      <c r="AA89" s="7"/>
      <c r="AF89" s="7"/>
    </row>
    <row r="90" spans="4:32">
      <c r="F90" s="6"/>
      <c r="G90" s="7"/>
      <c r="K90" s="6"/>
      <c r="L90" s="7"/>
      <c r="P90" s="6"/>
      <c r="Q90" s="7"/>
      <c r="U90" s="6"/>
      <c r="V90" s="7"/>
      <c r="Z90" s="6"/>
      <c r="AA90" s="7"/>
      <c r="AF90" s="7"/>
    </row>
    <row r="91" spans="4:32">
      <c r="F91" s="6"/>
      <c r="G91" s="7"/>
      <c r="K91" s="6"/>
      <c r="L91" s="7"/>
      <c r="P91" s="6"/>
      <c r="Q91" s="7"/>
      <c r="U91" s="6"/>
      <c r="V91" s="7"/>
      <c r="Z91" s="6"/>
      <c r="AA91" s="7"/>
      <c r="AF91" s="7"/>
    </row>
  </sheetData>
  <sheetProtection password="CCBC" sheet="1" objects="1" scenarios="1"/>
  <mergeCells count="7">
    <mergeCell ref="B1:AF1"/>
    <mergeCell ref="B2:AF2"/>
    <mergeCell ref="F5:G5"/>
    <mergeCell ref="K5:L5"/>
    <mergeCell ref="P5:Q5"/>
    <mergeCell ref="U5:V5"/>
    <mergeCell ref="Z5:AA5"/>
  </mergeCells>
  <phoneticPr fontId="0" type="noConversion"/>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A1:M39"/>
  <sheetViews>
    <sheetView zoomScaleNormal="100" workbookViewId="0">
      <selection activeCell="L5" sqref="L5"/>
    </sheetView>
  </sheetViews>
  <sheetFormatPr baseColWidth="10" defaultColWidth="9.1640625" defaultRowHeight="13"/>
  <cols>
    <col min="1" max="1" width="3.5" style="1" customWidth="1"/>
    <col min="2" max="8" width="9.1640625" style="1"/>
    <col min="9" max="9" width="6.5" style="1" customWidth="1"/>
    <col min="10" max="11" width="9.1640625" style="1"/>
    <col min="12" max="12" width="3.5" style="1" customWidth="1"/>
    <col min="13" max="16384" width="9.1640625" style="1"/>
  </cols>
  <sheetData>
    <row r="1" spans="1:13" ht="14" thickBot="1">
      <c r="A1" s="381" t="s">
        <v>813</v>
      </c>
      <c r="B1" s="190"/>
      <c r="C1" s="190"/>
      <c r="D1" s="190"/>
      <c r="E1" s="190"/>
      <c r="F1" s="190"/>
      <c r="G1" s="190"/>
      <c r="H1" s="190"/>
      <c r="I1" s="879">
        <f>+Name</f>
        <v>0</v>
      </c>
      <c r="J1" s="374" t="e">
        <f>Cover!$H$6</f>
        <v>#N/A</v>
      </c>
      <c r="K1" s="190"/>
      <c r="L1" s="441"/>
    </row>
    <row r="2" spans="1:13" ht="18" thickTop="1" thickBot="1">
      <c r="A2" s="190"/>
      <c r="B2" s="1385" t="s">
        <v>814</v>
      </c>
      <c r="C2" s="1386"/>
      <c r="D2" s="1386"/>
      <c r="E2" s="1386"/>
      <c r="F2" s="1386"/>
      <c r="G2" s="1386"/>
      <c r="H2" s="1386"/>
      <c r="I2" s="1386"/>
      <c r="J2" s="1386"/>
      <c r="K2" s="1387"/>
      <c r="L2" s="441"/>
      <c r="M2" s="883" t="s">
        <v>92</v>
      </c>
    </row>
    <row r="3" spans="1:13" ht="14" thickTop="1">
      <c r="A3" s="190"/>
      <c r="B3" s="190"/>
      <c r="C3" s="190"/>
      <c r="D3" s="190"/>
      <c r="E3" s="190"/>
      <c r="F3" s="190"/>
      <c r="G3" s="190"/>
      <c r="H3" s="190"/>
      <c r="I3" s="190"/>
      <c r="J3" s="190"/>
      <c r="K3" s="190"/>
      <c r="L3" s="441"/>
      <c r="M3" s="883" t="s">
        <v>91</v>
      </c>
    </row>
    <row r="4" spans="1:13" ht="66" customHeight="1">
      <c r="B4" s="1384" t="s">
        <v>815</v>
      </c>
      <c r="C4" s="1384"/>
      <c r="D4" s="1384"/>
      <c r="E4" s="1384"/>
      <c r="F4" s="1384"/>
      <c r="G4" s="1384"/>
      <c r="H4" s="1384"/>
      <c r="I4" s="1384"/>
    </row>
    <row r="6" spans="1:13" ht="12.75" customHeight="1">
      <c r="B6" s="888"/>
      <c r="C6" s="888"/>
      <c r="D6" s="888"/>
      <c r="E6" s="888"/>
      <c r="F6" s="888"/>
      <c r="G6" s="888"/>
      <c r="H6" s="888"/>
      <c r="I6" s="888"/>
      <c r="K6" s="754"/>
    </row>
    <row r="7" spans="1:13">
      <c r="B7" s="754" t="s">
        <v>1291</v>
      </c>
      <c r="K7" s="754" t="s">
        <v>234</v>
      </c>
    </row>
    <row r="9" spans="1:13" ht="39" customHeight="1">
      <c r="B9" s="1384" t="s">
        <v>816</v>
      </c>
      <c r="C9" s="1384"/>
      <c r="D9" s="1384"/>
      <c r="E9" s="1384"/>
      <c r="F9" s="1384"/>
      <c r="G9" s="1384"/>
      <c r="H9" s="1384"/>
      <c r="I9" s="1384"/>
      <c r="K9" s="338"/>
    </row>
    <row r="11" spans="1:13" ht="108" customHeight="1">
      <c r="B11" s="1384" t="s">
        <v>2036</v>
      </c>
      <c r="C11" s="1384"/>
      <c r="D11" s="1384"/>
      <c r="E11" s="1384"/>
      <c r="F11" s="1384"/>
      <c r="G11" s="1384"/>
      <c r="H11" s="1384"/>
      <c r="I11" s="1384"/>
      <c r="K11" s="338"/>
    </row>
    <row r="12" spans="1:13">
      <c r="B12" s="1388"/>
      <c r="C12" s="1388"/>
      <c r="D12" s="1388"/>
      <c r="E12" s="1388"/>
      <c r="F12" s="1388"/>
      <c r="G12" s="1388"/>
      <c r="H12" s="1388"/>
      <c r="I12" s="1388"/>
    </row>
    <row r="13" spans="1:13" ht="47.25" customHeight="1">
      <c r="B13" s="1384" t="s">
        <v>818</v>
      </c>
      <c r="C13" s="1384"/>
      <c r="D13" s="1384"/>
      <c r="E13" s="1384"/>
      <c r="F13" s="1384"/>
      <c r="G13" s="1384"/>
      <c r="H13" s="1384"/>
      <c r="I13" s="1384"/>
      <c r="K13" s="338"/>
    </row>
    <row r="15" spans="1:13" ht="93" customHeight="1">
      <c r="B15" s="1384" t="s">
        <v>817</v>
      </c>
      <c r="C15" s="1384"/>
      <c r="D15" s="1384"/>
      <c r="E15" s="1384"/>
      <c r="F15" s="1384"/>
      <c r="G15" s="1384"/>
      <c r="H15" s="1384"/>
      <c r="I15" s="1384"/>
      <c r="K15" s="338"/>
    </row>
    <row r="17" spans="2:11" ht="66" customHeight="1">
      <c r="B17" s="1384" t="s">
        <v>2076</v>
      </c>
      <c r="C17" s="1384"/>
      <c r="D17" s="1384"/>
      <c r="E17" s="1384"/>
      <c r="F17" s="1384"/>
      <c r="G17" s="1384"/>
      <c r="H17" s="1384"/>
      <c r="I17" s="1384"/>
      <c r="K17" s="338"/>
    </row>
    <row r="19" spans="2:11" ht="42.75" customHeight="1">
      <c r="B19" s="1384" t="s">
        <v>819</v>
      </c>
      <c r="C19" s="1384"/>
      <c r="D19" s="1384"/>
      <c r="E19" s="1384"/>
      <c r="F19" s="1384"/>
      <c r="G19" s="1384"/>
      <c r="H19" s="1384"/>
      <c r="I19" s="1384"/>
      <c r="K19" s="338"/>
    </row>
    <row r="21" spans="2:11" ht="49.5" customHeight="1">
      <c r="B21" s="1384" t="s">
        <v>2038</v>
      </c>
      <c r="C21" s="1384"/>
      <c r="D21" s="1384"/>
      <c r="E21" s="1384"/>
      <c r="F21" s="1384"/>
      <c r="G21" s="1384"/>
      <c r="H21" s="1384"/>
      <c r="I21" s="1384"/>
      <c r="K21" s="338"/>
    </row>
    <row r="22" spans="2:11" ht="10.5" customHeight="1"/>
    <row r="23" spans="2:11" ht="88.5" customHeight="1">
      <c r="B23" s="1384" t="s">
        <v>2037</v>
      </c>
      <c r="C23" s="1384"/>
      <c r="D23" s="1384"/>
      <c r="E23" s="1384"/>
      <c r="F23" s="1384"/>
      <c r="G23" s="1384"/>
      <c r="H23" s="1384"/>
      <c r="I23" s="1384"/>
      <c r="K23" s="338"/>
    </row>
    <row r="25" spans="2:11" ht="53.25" customHeight="1">
      <c r="B25" s="1384" t="s">
        <v>2039</v>
      </c>
      <c r="C25" s="1384"/>
      <c r="D25" s="1384"/>
      <c r="E25" s="1384"/>
      <c r="F25" s="1384"/>
      <c r="G25" s="1384"/>
      <c r="H25" s="1384"/>
      <c r="I25" s="1384"/>
      <c r="K25" s="338"/>
    </row>
    <row r="27" spans="2:11" ht="34.5" customHeight="1">
      <c r="B27" s="1384" t="s">
        <v>2040</v>
      </c>
      <c r="C27" s="1384"/>
      <c r="D27" s="1384"/>
      <c r="E27" s="1384"/>
      <c r="F27" s="1384"/>
      <c r="G27" s="1384"/>
      <c r="H27" s="1384"/>
      <c r="I27" s="1384"/>
      <c r="K27" s="338"/>
    </row>
    <row r="29" spans="2:11" ht="66.75" customHeight="1">
      <c r="B29" s="1384" t="s">
        <v>1289</v>
      </c>
      <c r="C29" s="1384"/>
      <c r="D29" s="1384"/>
      <c r="E29" s="1384"/>
      <c r="F29" s="1384"/>
      <c r="G29" s="1384"/>
      <c r="H29" s="1384"/>
      <c r="I29" s="1384"/>
      <c r="K29" s="338"/>
    </row>
    <row r="31" spans="2:11">
      <c r="B31" s="754" t="s">
        <v>1290</v>
      </c>
    </row>
    <row r="33" spans="2:11">
      <c r="B33" s="1384" t="s">
        <v>1194</v>
      </c>
      <c r="C33" s="1384"/>
      <c r="D33" s="1384"/>
      <c r="E33" s="1384"/>
      <c r="F33" s="1384"/>
      <c r="G33" s="1384"/>
      <c r="H33" s="1384"/>
      <c r="I33" s="1384"/>
      <c r="K33" s="338"/>
    </row>
    <row r="35" spans="2:11">
      <c r="B35" s="1384" t="s">
        <v>1195</v>
      </c>
      <c r="C35" s="1384"/>
      <c r="D35" s="1384"/>
      <c r="E35" s="1384"/>
      <c r="F35" s="1384"/>
      <c r="G35" s="1384"/>
      <c r="H35" s="1384"/>
      <c r="I35" s="1384"/>
      <c r="K35" s="338"/>
    </row>
    <row r="37" spans="2:11">
      <c r="B37" s="1384" t="s">
        <v>1292</v>
      </c>
      <c r="C37" s="1384"/>
      <c r="D37" s="1384"/>
      <c r="E37" s="1384"/>
      <c r="F37" s="1384"/>
      <c r="G37" s="1384"/>
      <c r="H37" s="1384"/>
      <c r="I37" s="1384"/>
      <c r="K37" s="338"/>
    </row>
    <row r="39" spans="2:11" ht="39.75" customHeight="1">
      <c r="B39" s="1384" t="s">
        <v>2075</v>
      </c>
      <c r="C39" s="1384"/>
      <c r="D39" s="1384"/>
      <c r="E39" s="1384"/>
      <c r="F39" s="1384"/>
      <c r="G39" s="1384"/>
      <c r="H39" s="1384"/>
      <c r="I39" s="1384"/>
    </row>
  </sheetData>
  <sheetProtection password="CCBC" sheet="1" objects="1" scenarios="1"/>
  <mergeCells count="18">
    <mergeCell ref="B15:I15"/>
    <mergeCell ref="B17:I17"/>
    <mergeCell ref="B19:I19"/>
    <mergeCell ref="B2:K2"/>
    <mergeCell ref="B12:I12"/>
    <mergeCell ref="B4:I4"/>
    <mergeCell ref="B9:I9"/>
    <mergeCell ref="B11:I11"/>
    <mergeCell ref="B13:I13"/>
    <mergeCell ref="B21:I21"/>
    <mergeCell ref="B23:I23"/>
    <mergeCell ref="B27:I27"/>
    <mergeCell ref="B39:I39"/>
    <mergeCell ref="B29:I29"/>
    <mergeCell ref="B33:I33"/>
    <mergeCell ref="B35:I35"/>
    <mergeCell ref="B37:I37"/>
    <mergeCell ref="B25:I25"/>
  </mergeCells>
  <phoneticPr fontId="51" type="noConversion"/>
  <dataValidations count="1">
    <dataValidation type="list" allowBlank="1" showInputMessage="1" showErrorMessage="1" sqref="K9 K35 K11 K13 K15 K17 K19 K21 K23 K25 K27 K29 K33 K37" xr:uid="{00000000-0002-0000-0300-000000000000}">
      <formula1>$M$1:$M$3</formula1>
    </dataValidation>
  </dataValidations>
  <pageMargins left="0.75" right="0.75" top="1" bottom="1" header="0.5" footer="0.5"/>
  <pageSetup scale="92" orientation="portrait" r:id="rId1"/>
  <headerFooter alignWithMargins="0"/>
  <colBreaks count="1" manualBreakCount="1">
    <brk id="12"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E92"/>
  <sheetViews>
    <sheetView zoomScale="75" zoomScaleNormal="75" workbookViewId="0">
      <selection activeCell="L5" sqref="L5"/>
    </sheetView>
  </sheetViews>
  <sheetFormatPr baseColWidth="10" defaultColWidth="9.1640625" defaultRowHeight="13"/>
  <cols>
    <col min="1" max="1" width="3.6640625" style="190" customWidth="1"/>
    <col min="2" max="12" width="12.6640625" style="190" customWidth="1"/>
    <col min="13" max="13" width="3.6640625" style="190" customWidth="1"/>
    <col min="14" max="16384" width="9.1640625" style="190"/>
  </cols>
  <sheetData>
    <row r="1" spans="1:31" ht="14" thickBot="1">
      <c r="A1" s="381" t="s">
        <v>1865</v>
      </c>
      <c r="I1" s="879">
        <f>+Name</f>
        <v>0</v>
      </c>
      <c r="J1" s="374" t="e">
        <f>Cover!$H$6</f>
        <v>#N/A</v>
      </c>
    </row>
    <row r="2" spans="1:31" ht="49.5" customHeight="1" thickTop="1" thickBot="1">
      <c r="B2" s="144" t="s">
        <v>96</v>
      </c>
      <c r="C2" s="145" t="s">
        <v>1254</v>
      </c>
      <c r="D2" s="145" t="s">
        <v>1040</v>
      </c>
      <c r="E2" s="145" t="s">
        <v>98</v>
      </c>
      <c r="F2" s="145" t="s">
        <v>97</v>
      </c>
      <c r="G2" s="145" t="s">
        <v>99</v>
      </c>
      <c r="H2" s="145" t="s">
        <v>1568</v>
      </c>
      <c r="I2" s="145" t="s">
        <v>1163</v>
      </c>
      <c r="J2" s="744" t="s">
        <v>142</v>
      </c>
      <c r="K2" s="145" t="s">
        <v>971</v>
      </c>
      <c r="L2" s="615" t="s">
        <v>1385</v>
      </c>
    </row>
    <row r="3" spans="1:31" ht="14" thickTop="1">
      <c r="B3" s="142" t="s">
        <v>373</v>
      </c>
      <c r="C3" s="773"/>
      <c r="D3" s="773"/>
      <c r="E3" s="228">
        <f>+'Primary Input'!J14</f>
        <v>0</v>
      </c>
      <c r="F3" s="229" t="e">
        <f>VLOOKUP(parish,'4060'!$B$10:$AG$73,5)</f>
        <v>#N/A</v>
      </c>
      <c r="G3" s="229" t="e">
        <f>IF('Primary Input'!K11=2,VLOOKUP(parish,'4060'!$B$10:$AG$73,6),VLOOKUP(parish,'5020'!$B$10:$AG$73,6))</f>
        <v>#N/A</v>
      </c>
      <c r="H3" s="229">
        <f>+C69</f>
        <v>0</v>
      </c>
      <c r="I3" s="777"/>
      <c r="J3" s="230" t="e">
        <f t="shared" ref="J3:J9" si="0">IF(L15=0,0,+L26/L15)</f>
        <v>#N/A</v>
      </c>
      <c r="K3" s="700">
        <v>0</v>
      </c>
      <c r="L3" s="230" t="e">
        <f t="shared" ref="L3:L9" si="1">+J3*E3</f>
        <v>#N/A</v>
      </c>
      <c r="M3" s="807" t="e">
        <f>IF(J3&gt;I3,"!","")</f>
        <v>#N/A</v>
      </c>
    </row>
    <row r="4" spans="1:31">
      <c r="B4" s="4" t="s">
        <v>93</v>
      </c>
      <c r="C4" s="774"/>
      <c r="D4" s="774"/>
      <c r="E4" s="232">
        <f>+'Primary Input'!J15</f>
        <v>0</v>
      </c>
      <c r="F4" s="233" t="e">
        <f>VLOOKUP(parish,'4060'!$B$10:$AG$73,10)</f>
        <v>#N/A</v>
      </c>
      <c r="G4" s="233" t="e">
        <f>IF('Primary Input'!K11=2,VLOOKUP(parish,'4060'!$B$10:$AG$73,11),VLOOKUP(parish,'5020'!$B$10:$AG$73,11))</f>
        <v>#N/A</v>
      </c>
      <c r="H4" s="233">
        <f>+D69</f>
        <v>0</v>
      </c>
      <c r="I4" s="778"/>
      <c r="J4" s="230" t="e">
        <f t="shared" si="0"/>
        <v>#N/A</v>
      </c>
      <c r="K4" s="556">
        <v>0</v>
      </c>
      <c r="L4" s="230" t="e">
        <f t="shared" si="1"/>
        <v>#N/A</v>
      </c>
      <c r="M4" s="807" t="e">
        <f t="shared" ref="M4:M9" si="2">IF(J4&gt;I4,"!","")</f>
        <v>#N/A</v>
      </c>
    </row>
    <row r="5" spans="1:31">
      <c r="B5" s="4" t="s">
        <v>374</v>
      </c>
      <c r="C5" s="774"/>
      <c r="D5" s="774"/>
      <c r="E5" s="232">
        <f>+'Primary Input'!J16</f>
        <v>0</v>
      </c>
      <c r="F5" s="233" t="e">
        <f>VLOOKUP(parish,'4060'!$B$10:$AG$73,15)</f>
        <v>#N/A</v>
      </c>
      <c r="G5" s="233" t="e">
        <f>IF('Primary Input'!K11=2,VLOOKUP(parish,'4060'!$B$10:$AG$73,16),VLOOKUP(parish,'5020'!$B$10:$AG$73,16))</f>
        <v>#N/A</v>
      </c>
      <c r="H5" s="233">
        <f>+E69</f>
        <v>0</v>
      </c>
      <c r="I5" s="778"/>
      <c r="J5" s="230" t="e">
        <f t="shared" si="0"/>
        <v>#N/A</v>
      </c>
      <c r="K5" s="556">
        <v>0</v>
      </c>
      <c r="L5" s="230" t="e">
        <f t="shared" si="1"/>
        <v>#N/A</v>
      </c>
      <c r="M5" s="807" t="e">
        <f t="shared" si="2"/>
        <v>#N/A</v>
      </c>
    </row>
    <row r="6" spans="1:31">
      <c r="B6" s="4" t="s">
        <v>375</v>
      </c>
      <c r="C6" s="774"/>
      <c r="D6" s="774"/>
      <c r="E6" s="232">
        <f>+'Primary Input'!J17</f>
        <v>0</v>
      </c>
      <c r="F6" s="233" t="e">
        <f>VLOOKUP(parish,'4060'!$B$10:$AG$73,20)</f>
        <v>#N/A</v>
      </c>
      <c r="G6" s="233" t="e">
        <f>IF('Primary Input'!K11=2,VLOOKUP(parish,'4060'!$B$10:$AG$73,21),VLOOKUP(parish,'5020'!$B$10:$AG$73,21))</f>
        <v>#N/A</v>
      </c>
      <c r="H6" s="233">
        <f>+F69</f>
        <v>0</v>
      </c>
      <c r="I6" s="778"/>
      <c r="J6" s="230" t="e">
        <f t="shared" si="0"/>
        <v>#N/A</v>
      </c>
      <c r="K6" s="556">
        <v>0</v>
      </c>
      <c r="L6" s="230" t="e">
        <f t="shared" si="1"/>
        <v>#N/A</v>
      </c>
      <c r="M6" s="807" t="e">
        <f t="shared" si="2"/>
        <v>#N/A</v>
      </c>
    </row>
    <row r="7" spans="1:31">
      <c r="B7" s="4" t="s">
        <v>376</v>
      </c>
      <c r="C7" s="774"/>
      <c r="D7" s="774"/>
      <c r="E7" s="232">
        <f>+'Primary Input'!J18</f>
        <v>0</v>
      </c>
      <c r="F7" s="233" t="e">
        <f>VLOOKUP(parish,'4060'!$B$10:$AG$73,25)</f>
        <v>#N/A</v>
      </c>
      <c r="G7" s="233" t="e">
        <f>IF('Primary Input'!K11=2,VLOOKUP(parish,'4060'!$B$10:$AG$73,26),VLOOKUP(parish,'5020'!$B$10:$AG$73,26))</f>
        <v>#N/A</v>
      </c>
      <c r="H7" s="233">
        <f>+G69</f>
        <v>0</v>
      </c>
      <c r="I7" s="778"/>
      <c r="J7" s="230" t="e">
        <f t="shared" si="0"/>
        <v>#N/A</v>
      </c>
      <c r="K7" s="556">
        <v>0</v>
      </c>
      <c r="L7" s="230" t="e">
        <f t="shared" si="1"/>
        <v>#N/A</v>
      </c>
      <c r="M7" s="807" t="e">
        <f t="shared" si="2"/>
        <v>#N/A</v>
      </c>
    </row>
    <row r="8" spans="1:31">
      <c r="B8" s="4" t="s">
        <v>377</v>
      </c>
      <c r="C8" s="774"/>
      <c r="D8" s="774"/>
      <c r="E8" s="232">
        <f>+'Primary Input'!J19</f>
        <v>0</v>
      </c>
      <c r="F8" s="233" t="e">
        <f>+F7*1.15</f>
        <v>#N/A</v>
      </c>
      <c r="G8" s="233" t="e">
        <f>IF('Primary Input'!K11=2,VLOOKUP(parish,'4060'!$B$10:$AG$73,31),VLOOKUP(parish,'5020'!$B$10:$AG$73,31))</f>
        <v>#N/A</v>
      </c>
      <c r="H8" s="233">
        <f>+H69</f>
        <v>0</v>
      </c>
      <c r="I8" s="778"/>
      <c r="J8" s="230" t="e">
        <f t="shared" si="0"/>
        <v>#N/A</v>
      </c>
      <c r="K8" s="556">
        <v>0</v>
      </c>
      <c r="L8" s="230" t="e">
        <f t="shared" si="1"/>
        <v>#N/A</v>
      </c>
      <c r="M8" s="807" t="e">
        <f t="shared" si="2"/>
        <v>#N/A</v>
      </c>
    </row>
    <row r="9" spans="1:31">
      <c r="B9" s="240" t="s">
        <v>80</v>
      </c>
      <c r="C9" s="774"/>
      <c r="D9" s="774"/>
      <c r="E9" s="232">
        <f>+'Primary Input'!J20</f>
        <v>0</v>
      </c>
      <c r="F9" s="108">
        <v>0</v>
      </c>
      <c r="G9" s="108">
        <v>0</v>
      </c>
      <c r="H9" s="109">
        <v>0</v>
      </c>
      <c r="I9" s="778"/>
      <c r="J9" s="230">
        <f t="shared" si="0"/>
        <v>0</v>
      </c>
      <c r="K9" s="556"/>
      <c r="L9" s="230">
        <f t="shared" si="1"/>
        <v>0</v>
      </c>
      <c r="M9" s="807" t="str">
        <f t="shared" si="2"/>
        <v/>
      </c>
    </row>
    <row r="10" spans="1:31">
      <c r="B10" s="100" t="s">
        <v>94</v>
      </c>
      <c r="C10" s="775"/>
      <c r="D10" s="776"/>
      <c r="E10" s="234">
        <f>SUM(E3:E9)</f>
        <v>0</v>
      </c>
      <c r="F10" s="234"/>
      <c r="G10" s="234"/>
      <c r="H10" s="234"/>
      <c r="I10" s="235">
        <f>SUMPRODUCT($E3:$E9,I3:I9)</f>
        <v>0</v>
      </c>
      <c r="J10" s="235" t="e">
        <f>SUMPRODUCT($E3:$E9,J3:J9)</f>
        <v>#N/A</v>
      </c>
      <c r="K10" s="779">
        <f>SUM(K3:K9)</f>
        <v>0</v>
      </c>
      <c r="L10" s="235" t="e">
        <f>SUM(L3:L9)</f>
        <v>#N/A</v>
      </c>
      <c r="M10" s="807" t="e">
        <f>IF(L$10=L$33,"","!")</f>
        <v>#N/A</v>
      </c>
      <c r="N10" s="441">
        <f>SUM(N37:N43)</f>
        <v>0</v>
      </c>
    </row>
    <row r="11" spans="1:31">
      <c r="A11" s="381"/>
      <c r="B11" s="1389" t="str">
        <f>IF('Primary Input'!K11=3,"Warning: 15%/40% selected, above TC R not accurate (50/20). Use Project Based contract rents (K25-K31) to override ","")</f>
        <v/>
      </c>
      <c r="C11" s="1389"/>
      <c r="D11" s="1389"/>
      <c r="E11" s="1389"/>
      <c r="F11" s="1389"/>
      <c r="G11" s="1389"/>
      <c r="H11" s="1389"/>
      <c r="I11" s="1389"/>
      <c r="J11" s="745"/>
      <c r="K11" s="441"/>
      <c r="L11" s="441"/>
      <c r="S11" s="441"/>
      <c r="T11" s="441"/>
      <c r="U11" s="441"/>
      <c r="V11" s="441"/>
      <c r="W11" s="441"/>
      <c r="X11" s="441"/>
      <c r="Y11" s="441"/>
    </row>
    <row r="12" spans="1:31" ht="14" thickBot="1">
      <c r="A12" s="381" t="s">
        <v>1162</v>
      </c>
      <c r="B12" s="236"/>
      <c r="C12" s="236"/>
      <c r="D12" s="236"/>
      <c r="E12" s="236"/>
      <c r="F12" s="236"/>
      <c r="G12" s="236"/>
      <c r="H12" s="236"/>
      <c r="I12" s="236"/>
      <c r="J12" s="236"/>
      <c r="L12" s="847" t="s">
        <v>1416</v>
      </c>
      <c r="S12" s="441"/>
      <c r="T12" s="441"/>
      <c r="U12" s="441"/>
      <c r="V12" s="441"/>
      <c r="W12" s="441"/>
      <c r="X12" s="441"/>
      <c r="Y12" s="441"/>
    </row>
    <row r="13" spans="1:31" ht="14" thickBot="1">
      <c r="A13" s="381"/>
      <c r="B13" s="236"/>
      <c r="C13" s="1396" t="s">
        <v>1414</v>
      </c>
      <c r="D13" s="1397"/>
      <c r="E13" s="1397"/>
      <c r="F13" s="1397"/>
      <c r="G13" s="1397"/>
      <c r="H13" s="1397"/>
      <c r="I13" s="1398"/>
      <c r="J13" s="1396" t="s">
        <v>1415</v>
      </c>
      <c r="K13" s="1398"/>
      <c r="L13" s="857" t="s">
        <v>1417</v>
      </c>
      <c r="N13" s="441" t="s">
        <v>1417</v>
      </c>
      <c r="S13" s="441"/>
      <c r="T13" s="441"/>
      <c r="U13" s="441"/>
      <c r="V13" s="441"/>
      <c r="W13" s="441"/>
      <c r="X13" s="441"/>
      <c r="Y13" s="441"/>
      <c r="Z13" s="441"/>
      <c r="AA13" s="441"/>
      <c r="AB13" s="441"/>
      <c r="AC13" s="441"/>
      <c r="AD13" s="441"/>
      <c r="AE13" s="441"/>
    </row>
    <row r="14" spans="1:31" ht="26.25" customHeight="1" thickTop="1" thickBot="1">
      <c r="B14" s="144" t="s">
        <v>96</v>
      </c>
      <c r="C14" s="839" t="s">
        <v>1041</v>
      </c>
      <c r="D14" s="839" t="s">
        <v>1042</v>
      </c>
      <c r="E14" s="839" t="s">
        <v>1043</v>
      </c>
      <c r="F14" s="839" t="s">
        <v>140</v>
      </c>
      <c r="G14" s="839" t="s">
        <v>141</v>
      </c>
      <c r="H14" s="839" t="s">
        <v>447</v>
      </c>
      <c r="I14" s="841" t="s">
        <v>2013</v>
      </c>
      <c r="J14" s="843" t="s">
        <v>1522</v>
      </c>
      <c r="K14" s="842" t="s">
        <v>1926</v>
      </c>
      <c r="L14" s="846" t="s">
        <v>494</v>
      </c>
      <c r="N14" s="441" t="s">
        <v>1418</v>
      </c>
      <c r="O14" s="441"/>
      <c r="S14" s="697" t="s">
        <v>19</v>
      </c>
      <c r="T14" s="441">
        <v>80</v>
      </c>
      <c r="U14" s="441" t="s">
        <v>1927</v>
      </c>
      <c r="V14" s="441" t="s">
        <v>1928</v>
      </c>
      <c r="W14" s="441" t="s">
        <v>1929</v>
      </c>
      <c r="X14" s="441" t="s">
        <v>494</v>
      </c>
      <c r="Y14" s="441"/>
      <c r="Z14" s="441" t="s">
        <v>1930</v>
      </c>
      <c r="AA14" s="441" t="s">
        <v>1931</v>
      </c>
      <c r="AB14" s="441" t="s">
        <v>1932</v>
      </c>
      <c r="AC14" s="441" t="s">
        <v>494</v>
      </c>
      <c r="AD14" s="441"/>
      <c r="AE14" s="441"/>
    </row>
    <row r="15" spans="1:31" ht="12.75" customHeight="1" thickTop="1">
      <c r="B15" s="215" t="s">
        <v>373</v>
      </c>
      <c r="C15" s="216"/>
      <c r="D15" s="216"/>
      <c r="E15" s="216"/>
      <c r="F15" s="216"/>
      <c r="G15" s="216"/>
      <c r="H15" s="216"/>
      <c r="I15" s="216"/>
      <c r="J15" s="830" t="e">
        <f t="shared" ref="J15:J21" si="3">+J26*J$22/0.6</f>
        <v>#N/A</v>
      </c>
      <c r="K15" s="216"/>
      <c r="L15" s="232" t="e">
        <f t="shared" ref="L15:L21" si="4">SUM(C15:K15)-J15</f>
        <v>#N/A</v>
      </c>
      <c r="M15" s="845" t="e">
        <f>IF(L15&lt;&gt;'Primary Input'!J14,"!","")</f>
        <v>#N/A</v>
      </c>
      <c r="N15" s="441" t="s">
        <v>82</v>
      </c>
      <c r="O15" s="441"/>
      <c r="S15" s="697" t="s">
        <v>19</v>
      </c>
      <c r="T15" s="441">
        <v>9060</v>
      </c>
      <c r="U15" s="441">
        <f t="shared" ref="U15:U21" si="5">+C15+D15+E15</f>
        <v>0</v>
      </c>
      <c r="V15" s="441">
        <f t="shared" ref="V15:W21" si="6">+U15+F15</f>
        <v>0</v>
      </c>
      <c r="W15" s="441">
        <f t="shared" si="6"/>
        <v>0</v>
      </c>
      <c r="X15" s="853" t="e">
        <f t="shared" ref="X15:X21" si="7">+L15</f>
        <v>#N/A</v>
      </c>
      <c r="Y15" s="441"/>
      <c r="Z15" s="441" t="e">
        <f t="shared" ref="Z15:AC22" si="8">IF($X15=0,0,U15/$X15)</f>
        <v>#N/A</v>
      </c>
      <c r="AA15" s="441" t="e">
        <f t="shared" si="8"/>
        <v>#N/A</v>
      </c>
      <c r="AB15" s="441" t="e">
        <f t="shared" si="8"/>
        <v>#N/A</v>
      </c>
      <c r="AC15" s="441" t="e">
        <f t="shared" si="8"/>
        <v>#N/A</v>
      </c>
      <c r="AD15" s="441"/>
      <c r="AE15" s="441"/>
    </row>
    <row r="16" spans="1:31" ht="12.75" customHeight="1">
      <c r="B16" s="217" t="s">
        <v>93</v>
      </c>
      <c r="C16" s="216"/>
      <c r="D16" s="216"/>
      <c r="E16" s="216"/>
      <c r="F16" s="216"/>
      <c r="G16" s="216"/>
      <c r="H16" s="216"/>
      <c r="I16" s="216"/>
      <c r="J16" s="830" t="e">
        <f t="shared" si="3"/>
        <v>#N/A</v>
      </c>
      <c r="K16" s="218"/>
      <c r="L16" s="232" t="e">
        <f t="shared" si="4"/>
        <v>#N/A</v>
      </c>
      <c r="M16" s="845" t="e">
        <f>IF(L16&lt;&gt;'Primary Input'!J15,"!","")</f>
        <v>#N/A</v>
      </c>
      <c r="S16" s="697" t="s">
        <v>19</v>
      </c>
      <c r="T16" s="441">
        <v>2050</v>
      </c>
      <c r="U16" s="441">
        <f t="shared" si="5"/>
        <v>0</v>
      </c>
      <c r="V16" s="441">
        <f t="shared" si="6"/>
        <v>0</v>
      </c>
      <c r="W16" s="441">
        <f t="shared" si="6"/>
        <v>0</v>
      </c>
      <c r="X16" s="853" t="e">
        <f t="shared" si="7"/>
        <v>#N/A</v>
      </c>
      <c r="Y16" s="441"/>
      <c r="Z16" s="441" t="e">
        <f t="shared" si="8"/>
        <v>#N/A</v>
      </c>
      <c r="AA16" s="441" t="e">
        <f t="shared" si="8"/>
        <v>#N/A</v>
      </c>
      <c r="AB16" s="441" t="e">
        <f t="shared" si="8"/>
        <v>#N/A</v>
      </c>
      <c r="AC16" s="441" t="e">
        <f t="shared" si="8"/>
        <v>#N/A</v>
      </c>
      <c r="AD16" s="441"/>
      <c r="AE16" s="441"/>
    </row>
    <row r="17" spans="1:31" ht="12.75" customHeight="1">
      <c r="B17" s="217" t="s">
        <v>374</v>
      </c>
      <c r="C17" s="216"/>
      <c r="D17" s="216"/>
      <c r="E17" s="216"/>
      <c r="F17" s="216"/>
      <c r="G17" s="216"/>
      <c r="H17" s="216"/>
      <c r="I17" s="216"/>
      <c r="J17" s="830" t="e">
        <f t="shared" si="3"/>
        <v>#N/A</v>
      </c>
      <c r="K17" s="218"/>
      <c r="L17" s="232" t="e">
        <f t="shared" si="4"/>
        <v>#N/A</v>
      </c>
      <c r="M17" s="845" t="e">
        <f>IF(L17&lt;&gt;'Primary Input'!J16,"!","")</f>
        <v>#N/A</v>
      </c>
      <c r="S17" s="441"/>
      <c r="T17" s="441">
        <v>2050</v>
      </c>
      <c r="U17" s="441">
        <f t="shared" si="5"/>
        <v>0</v>
      </c>
      <c r="V17" s="441">
        <f t="shared" si="6"/>
        <v>0</v>
      </c>
      <c r="W17" s="441">
        <f t="shared" si="6"/>
        <v>0</v>
      </c>
      <c r="X17" s="853" t="e">
        <f t="shared" si="7"/>
        <v>#N/A</v>
      </c>
      <c r="Y17" s="441"/>
      <c r="Z17" s="441" t="e">
        <f t="shared" si="8"/>
        <v>#N/A</v>
      </c>
      <c r="AA17" s="441" t="e">
        <f t="shared" si="8"/>
        <v>#N/A</v>
      </c>
      <c r="AB17" s="441" t="e">
        <f t="shared" si="8"/>
        <v>#N/A</v>
      </c>
      <c r="AC17" s="441" t="e">
        <f t="shared" si="8"/>
        <v>#N/A</v>
      </c>
      <c r="AD17" s="441"/>
      <c r="AE17" s="441"/>
    </row>
    <row r="18" spans="1:31" ht="12.75" customHeight="1">
      <c r="B18" s="217" t="s">
        <v>375</v>
      </c>
      <c r="C18" s="216"/>
      <c r="D18" s="216"/>
      <c r="E18" s="216"/>
      <c r="F18" s="216"/>
      <c r="G18" s="216"/>
      <c r="H18" s="216"/>
      <c r="I18" s="216"/>
      <c r="J18" s="830" t="e">
        <f t="shared" si="3"/>
        <v>#N/A</v>
      </c>
      <c r="K18" s="218"/>
      <c r="L18" s="232" t="e">
        <f t="shared" si="4"/>
        <v>#N/A</v>
      </c>
      <c r="M18" s="845" t="e">
        <f>IF(L18&lt;&gt;'Primary Input'!J17,"!","")</f>
        <v>#N/A</v>
      </c>
      <c r="S18" s="441"/>
      <c r="T18" s="441">
        <v>4060</v>
      </c>
      <c r="U18" s="441">
        <f t="shared" si="5"/>
        <v>0</v>
      </c>
      <c r="V18" s="441">
        <f t="shared" si="6"/>
        <v>0</v>
      </c>
      <c r="W18" s="441">
        <f t="shared" si="6"/>
        <v>0</v>
      </c>
      <c r="X18" s="853" t="e">
        <f t="shared" si="7"/>
        <v>#N/A</v>
      </c>
      <c r="Y18" s="441"/>
      <c r="Z18" s="441" t="e">
        <f t="shared" si="8"/>
        <v>#N/A</v>
      </c>
      <c r="AA18" s="441" t="e">
        <f t="shared" si="8"/>
        <v>#N/A</v>
      </c>
      <c r="AB18" s="441" t="e">
        <f t="shared" si="8"/>
        <v>#N/A</v>
      </c>
      <c r="AC18" s="441" t="e">
        <f t="shared" si="8"/>
        <v>#N/A</v>
      </c>
      <c r="AD18" s="441"/>
      <c r="AE18" s="441"/>
    </row>
    <row r="19" spans="1:31" ht="12.75" customHeight="1">
      <c r="B19" s="217" t="s">
        <v>376</v>
      </c>
      <c r="C19" s="216"/>
      <c r="D19" s="216"/>
      <c r="E19" s="216"/>
      <c r="F19" s="216"/>
      <c r="G19" s="216"/>
      <c r="H19" s="216"/>
      <c r="I19" s="216"/>
      <c r="J19" s="830" t="e">
        <f t="shared" si="3"/>
        <v>#N/A</v>
      </c>
      <c r="K19" s="218"/>
      <c r="L19" s="232" t="e">
        <f t="shared" si="4"/>
        <v>#N/A</v>
      </c>
      <c r="M19" s="845" t="e">
        <f>IF(L19&lt;&gt;'Primary Input'!J18,"!","")</f>
        <v>#N/A</v>
      </c>
      <c r="S19" s="441"/>
      <c r="T19" s="441">
        <v>1540</v>
      </c>
      <c r="U19" s="441">
        <f t="shared" si="5"/>
        <v>0</v>
      </c>
      <c r="V19" s="441">
        <f t="shared" si="6"/>
        <v>0</v>
      </c>
      <c r="W19" s="441">
        <f t="shared" si="6"/>
        <v>0</v>
      </c>
      <c r="X19" s="853" t="e">
        <f t="shared" si="7"/>
        <v>#N/A</v>
      </c>
      <c r="Y19" s="441"/>
      <c r="Z19" s="441" t="e">
        <f t="shared" si="8"/>
        <v>#N/A</v>
      </c>
      <c r="AA19" s="441" t="e">
        <f t="shared" si="8"/>
        <v>#N/A</v>
      </c>
      <c r="AB19" s="441" t="e">
        <f t="shared" si="8"/>
        <v>#N/A</v>
      </c>
      <c r="AC19" s="441" t="e">
        <f t="shared" si="8"/>
        <v>#N/A</v>
      </c>
      <c r="AD19" s="441"/>
      <c r="AE19" s="441"/>
    </row>
    <row r="20" spans="1:31" ht="12.75" customHeight="1">
      <c r="B20" s="217" t="s">
        <v>377</v>
      </c>
      <c r="C20" s="216"/>
      <c r="D20" s="216"/>
      <c r="E20" s="216"/>
      <c r="F20" s="216"/>
      <c r="G20" s="216"/>
      <c r="H20" s="216"/>
      <c r="I20" s="216"/>
      <c r="J20" s="830" t="e">
        <f t="shared" si="3"/>
        <v>#N/A</v>
      </c>
      <c r="K20" s="218"/>
      <c r="L20" s="232" t="e">
        <f t="shared" si="4"/>
        <v>#N/A</v>
      </c>
      <c r="M20" s="845" t="e">
        <f>IF(L20&lt;&gt;'Primary Input'!J19,"!","")</f>
        <v>#N/A</v>
      </c>
      <c r="S20" s="441"/>
      <c r="T20" s="441"/>
      <c r="U20" s="441">
        <f t="shared" si="5"/>
        <v>0</v>
      </c>
      <c r="V20" s="441">
        <f t="shared" si="6"/>
        <v>0</v>
      </c>
      <c r="W20" s="441">
        <f t="shared" si="6"/>
        <v>0</v>
      </c>
      <c r="X20" s="853" t="e">
        <f t="shared" si="7"/>
        <v>#N/A</v>
      </c>
      <c r="Y20" s="441"/>
      <c r="Z20" s="441" t="e">
        <f t="shared" si="8"/>
        <v>#N/A</v>
      </c>
      <c r="AA20" s="441" t="e">
        <f t="shared" si="8"/>
        <v>#N/A</v>
      </c>
      <c r="AB20" s="441" t="e">
        <f t="shared" si="8"/>
        <v>#N/A</v>
      </c>
      <c r="AC20" s="441" t="e">
        <f t="shared" si="8"/>
        <v>#N/A</v>
      </c>
      <c r="AD20" s="441"/>
      <c r="AE20" s="441"/>
    </row>
    <row r="21" spans="1:31" ht="12.75" customHeight="1" thickBot="1">
      <c r="B21" s="217" t="str">
        <f>+B9</f>
        <v>Other</v>
      </c>
      <c r="C21" s="216"/>
      <c r="D21" s="216"/>
      <c r="E21" s="219"/>
      <c r="F21" s="219"/>
      <c r="G21" s="219"/>
      <c r="H21" s="219"/>
      <c r="I21" s="219"/>
      <c r="J21" s="830">
        <f t="shared" si="3"/>
        <v>0</v>
      </c>
      <c r="K21" s="219"/>
      <c r="L21" s="232">
        <f t="shared" si="4"/>
        <v>0</v>
      </c>
      <c r="M21" s="845" t="str">
        <f>IF(L21&lt;&gt;'Primary Input'!J20,"!","")</f>
        <v/>
      </c>
      <c r="S21" s="441"/>
      <c r="T21" s="441"/>
      <c r="U21" s="441">
        <f t="shared" si="5"/>
        <v>0</v>
      </c>
      <c r="V21" s="441">
        <f t="shared" si="6"/>
        <v>0</v>
      </c>
      <c r="W21" s="441">
        <f t="shared" si="6"/>
        <v>0</v>
      </c>
      <c r="X21" s="853">
        <f t="shared" si="7"/>
        <v>0</v>
      </c>
      <c r="Y21" s="441"/>
      <c r="Z21" s="441">
        <f t="shared" si="8"/>
        <v>0</v>
      </c>
      <c r="AA21" s="441">
        <f t="shared" si="8"/>
        <v>0</v>
      </c>
      <c r="AB21" s="441">
        <f t="shared" si="8"/>
        <v>0</v>
      </c>
      <c r="AC21" s="441">
        <f t="shared" si="8"/>
        <v>0</v>
      </c>
      <c r="AD21" s="441"/>
      <c r="AE21" s="441"/>
    </row>
    <row r="22" spans="1:31">
      <c r="B22" s="101" t="s">
        <v>94</v>
      </c>
      <c r="C22" s="701">
        <f t="shared" ref="C22:K22" si="9">SUM(C15:C21)</f>
        <v>0</v>
      </c>
      <c r="D22" s="701">
        <f t="shared" si="9"/>
        <v>0</v>
      </c>
      <c r="E22" s="701">
        <f t="shared" si="9"/>
        <v>0</v>
      </c>
      <c r="F22" s="701">
        <f t="shared" si="9"/>
        <v>0</v>
      </c>
      <c r="G22" s="701">
        <f t="shared" si="9"/>
        <v>0</v>
      </c>
      <c r="H22" s="701">
        <f t="shared" si="9"/>
        <v>0</v>
      </c>
      <c r="I22" s="828">
        <f t="shared" si="9"/>
        <v>0</v>
      </c>
      <c r="J22" s="840">
        <v>0.6</v>
      </c>
      <c r="K22" s="829">
        <f t="shared" si="9"/>
        <v>0</v>
      </c>
      <c r="L22" s="806" t="e">
        <f>SUM(L15:L21)</f>
        <v>#N/A</v>
      </c>
      <c r="M22" s="275"/>
      <c r="N22" s="831">
        <v>0.5</v>
      </c>
      <c r="S22" s="441"/>
      <c r="T22" s="441" t="s">
        <v>494</v>
      </c>
      <c r="U22" s="441">
        <f>SUM(U15:U21)</f>
        <v>0</v>
      </c>
      <c r="V22" s="441">
        <f>SUM(V15:V21)</f>
        <v>0</v>
      </c>
      <c r="W22" s="441">
        <f>SUM(W15:W21)</f>
        <v>0</v>
      </c>
      <c r="X22" s="441" t="e">
        <f>SUM(X15:X21)</f>
        <v>#N/A</v>
      </c>
      <c r="Y22" s="441"/>
      <c r="Z22" s="441" t="e">
        <f t="shared" si="8"/>
        <v>#N/A</v>
      </c>
      <c r="AA22" s="441" t="e">
        <f t="shared" si="8"/>
        <v>#N/A</v>
      </c>
      <c r="AB22" s="441" t="e">
        <f t="shared" si="8"/>
        <v>#N/A</v>
      </c>
      <c r="AC22" s="441" t="e">
        <f t="shared" si="8"/>
        <v>#N/A</v>
      </c>
      <c r="AD22" s="441"/>
      <c r="AE22" s="441"/>
    </row>
    <row r="23" spans="1:31" ht="14" thickBot="1">
      <c r="B23" s="236"/>
      <c r="C23" s="236"/>
      <c r="D23" s="236"/>
      <c r="E23" s="236"/>
      <c r="F23" s="236"/>
      <c r="G23" s="236"/>
      <c r="H23" s="236"/>
      <c r="I23" s="236"/>
      <c r="J23" s="236"/>
      <c r="K23" s="236"/>
      <c r="L23" s="236"/>
      <c r="N23" s="831">
        <v>0.55000000000000004</v>
      </c>
      <c r="S23" s="441"/>
      <c r="T23" s="441"/>
      <c r="U23" s="441"/>
      <c r="V23" s="441"/>
      <c r="W23" s="441"/>
      <c r="X23" s="441"/>
      <c r="Y23" s="441"/>
      <c r="Z23" s="441"/>
      <c r="AA23" s="441"/>
      <c r="AB23" s="441"/>
      <c r="AC23" s="441"/>
      <c r="AD23" s="441"/>
      <c r="AE23" s="441"/>
    </row>
    <row r="24" spans="1:31" ht="14" thickBot="1">
      <c r="A24" s="381"/>
      <c r="B24" s="236"/>
      <c r="C24" s="1396" t="s">
        <v>1164</v>
      </c>
      <c r="D24" s="1397"/>
      <c r="E24" s="1397"/>
      <c r="F24" s="1397"/>
      <c r="G24" s="1397"/>
      <c r="H24" s="1397"/>
      <c r="I24" s="1398"/>
      <c r="J24" s="236"/>
      <c r="K24" s="1396" t="s">
        <v>1415</v>
      </c>
      <c r="L24" s="1398"/>
      <c r="N24" s="831">
        <v>0.6</v>
      </c>
      <c r="S24" s="441"/>
      <c r="T24" s="441"/>
      <c r="U24" s="441"/>
      <c r="V24" s="441"/>
      <c r="W24" s="441"/>
      <c r="X24" s="441"/>
      <c r="Y24" s="441"/>
      <c r="Z24" s="441" t="s">
        <v>1933</v>
      </c>
      <c r="AA24" s="441" t="e">
        <f>IF(AA22&gt;0.2,1,0)</f>
        <v>#N/A</v>
      </c>
      <c r="AB24" s="441" t="e">
        <f>IF(AB22&gt;0.4,1,0)</f>
        <v>#N/A</v>
      </c>
      <c r="AC24" s="441"/>
      <c r="AD24" s="441"/>
      <c r="AE24" s="441"/>
    </row>
    <row r="25" spans="1:31" ht="26.25" customHeight="1" thickTop="1" thickBot="1">
      <c r="B25" s="144" t="s">
        <v>96</v>
      </c>
      <c r="C25" s="145" t="s">
        <v>1041</v>
      </c>
      <c r="D25" s="145" t="s">
        <v>1042</v>
      </c>
      <c r="E25" s="145" t="s">
        <v>1043</v>
      </c>
      <c r="F25" s="145" t="s">
        <v>140</v>
      </c>
      <c r="G25" s="145" t="s">
        <v>141</v>
      </c>
      <c r="H25" s="145" t="s">
        <v>447</v>
      </c>
      <c r="I25" s="615" t="s">
        <v>245</v>
      </c>
      <c r="J25" s="804"/>
      <c r="K25" s="144" t="s">
        <v>1926</v>
      </c>
      <c r="L25" s="615" t="s">
        <v>1385</v>
      </c>
      <c r="N25" s="441"/>
      <c r="S25" s="441"/>
      <c r="T25" s="441"/>
      <c r="U25" s="441"/>
      <c r="V25" s="441"/>
      <c r="W25" s="441"/>
      <c r="X25" s="441"/>
      <c r="Y25" s="441"/>
      <c r="Z25" s="441" t="s">
        <v>1934</v>
      </c>
      <c r="AA25" s="441">
        <f>IF('Primary Input'!K11=1,1,0)</f>
        <v>0</v>
      </c>
      <c r="AB25" s="441">
        <v>1</v>
      </c>
      <c r="AC25" s="441"/>
      <c r="AD25" s="441"/>
      <c r="AE25" s="441"/>
    </row>
    <row r="26" spans="1:31" ht="12.75" customHeight="1" thickTop="1">
      <c r="B26" s="215" t="s">
        <v>373</v>
      </c>
      <c r="C26" s="800"/>
      <c r="D26" s="800"/>
      <c r="E26" s="800"/>
      <c r="F26" s="800"/>
      <c r="G26" s="800"/>
      <c r="H26" s="800"/>
      <c r="I26" s="800"/>
      <c r="J26" s="805" t="e">
        <f>IF('Primary Input'!K$11=2,'Rental Income'!G3,'Rental Income'!G3*1.2)</f>
        <v>#N/A</v>
      </c>
      <c r="K26" s="800"/>
      <c r="L26" s="230">
        <f t="shared" ref="L26:L32" si="10">SUMPRODUCT(C26:I26,C15:I15)+(K15*K26)</f>
        <v>0</v>
      </c>
      <c r="N26" s="441"/>
      <c r="S26" s="441"/>
      <c r="T26" s="441"/>
      <c r="U26" s="441"/>
      <c r="V26" s="441"/>
      <c r="W26" s="441"/>
      <c r="X26" s="441"/>
      <c r="Y26" s="441"/>
      <c r="Z26" s="441"/>
      <c r="AA26" s="441">
        <f>+AA25</f>
        <v>0</v>
      </c>
      <c r="AB26" s="441"/>
      <c r="AC26" s="441"/>
      <c r="AD26" s="441"/>
      <c r="AE26" s="441"/>
    </row>
    <row r="27" spans="1:31" ht="12.75" customHeight="1">
      <c r="B27" s="217" t="s">
        <v>93</v>
      </c>
      <c r="C27" s="800"/>
      <c r="D27" s="800"/>
      <c r="E27" s="800"/>
      <c r="F27" s="800"/>
      <c r="G27" s="800"/>
      <c r="H27" s="800"/>
      <c r="I27" s="801"/>
      <c r="J27" s="805" t="e">
        <f>IF('Primary Input'!K$11=2,'Rental Income'!G4,'Rental Income'!G4*1.2)</f>
        <v>#N/A</v>
      </c>
      <c r="K27" s="800"/>
      <c r="L27" s="230">
        <f t="shared" si="10"/>
        <v>0</v>
      </c>
      <c r="S27" s="441"/>
      <c r="T27" s="441"/>
      <c r="U27" s="441"/>
      <c r="V27" s="441"/>
      <c r="W27" s="441"/>
      <c r="X27" s="441"/>
      <c r="Y27" s="441"/>
      <c r="Z27" s="441"/>
      <c r="AA27" s="441"/>
      <c r="AB27" s="441"/>
      <c r="AC27" s="441"/>
      <c r="AD27" s="441"/>
      <c r="AE27" s="441"/>
    </row>
    <row r="28" spans="1:31" ht="12.75" customHeight="1">
      <c r="B28" s="217" t="s">
        <v>374</v>
      </c>
      <c r="C28" s="800"/>
      <c r="D28" s="800"/>
      <c r="E28" s="800"/>
      <c r="F28" s="800"/>
      <c r="G28" s="800"/>
      <c r="H28" s="800"/>
      <c r="I28" s="801"/>
      <c r="J28" s="805" t="e">
        <f>IF('Primary Input'!K$11=2,'Rental Income'!G5,'Rental Income'!G5*1.2)</f>
        <v>#N/A</v>
      </c>
      <c r="K28" s="800"/>
      <c r="L28" s="230">
        <f t="shared" si="10"/>
        <v>0</v>
      </c>
      <c r="S28" s="441"/>
      <c r="T28" s="441"/>
      <c r="U28" s="441"/>
      <c r="V28" s="441"/>
      <c r="W28" s="441"/>
      <c r="X28" s="441"/>
      <c r="Y28" s="441"/>
      <c r="Z28" s="441"/>
      <c r="AA28" s="441"/>
      <c r="AB28" s="441"/>
      <c r="AC28" s="441"/>
      <c r="AD28" s="441"/>
      <c r="AE28" s="441"/>
    </row>
    <row r="29" spans="1:31" ht="12.75" customHeight="1">
      <c r="B29" s="217" t="s">
        <v>375</v>
      </c>
      <c r="C29" s="800"/>
      <c r="D29" s="800"/>
      <c r="E29" s="800"/>
      <c r="F29" s="800"/>
      <c r="G29" s="800"/>
      <c r="H29" s="800"/>
      <c r="I29" s="801"/>
      <c r="J29" s="805" t="e">
        <f>IF('Primary Input'!K$11=2,'Rental Income'!G6,'Rental Income'!G6*1.2)</f>
        <v>#N/A</v>
      </c>
      <c r="K29" s="800"/>
      <c r="L29" s="230">
        <f t="shared" si="10"/>
        <v>0</v>
      </c>
      <c r="T29" s="441"/>
      <c r="U29" s="441"/>
      <c r="V29" s="441"/>
      <c r="W29" s="441"/>
      <c r="X29" s="441"/>
      <c r="Y29" s="441"/>
      <c r="Z29" s="441" t="s">
        <v>1935</v>
      </c>
      <c r="AA29" s="441">
        <f>IF(AA25=0,1,AA24)</f>
        <v>1</v>
      </c>
      <c r="AB29" s="441" t="e">
        <f>+AB25*AB24</f>
        <v>#N/A</v>
      </c>
      <c r="AC29" s="854" t="e">
        <f>+AB29*AA29</f>
        <v>#N/A</v>
      </c>
      <c r="AD29" s="441"/>
      <c r="AE29" s="441"/>
    </row>
    <row r="30" spans="1:31" ht="12.75" customHeight="1">
      <c r="B30" s="217" t="s">
        <v>376</v>
      </c>
      <c r="C30" s="800"/>
      <c r="D30" s="800"/>
      <c r="E30" s="800"/>
      <c r="F30" s="800"/>
      <c r="G30" s="800"/>
      <c r="H30" s="800"/>
      <c r="I30" s="801"/>
      <c r="J30" s="805" t="e">
        <f>IF('Primary Input'!K$11=2,'Rental Income'!G7,'Rental Income'!G7*1.2)</f>
        <v>#N/A</v>
      </c>
      <c r="K30" s="800"/>
      <c r="L30" s="230">
        <f t="shared" si="10"/>
        <v>0</v>
      </c>
      <c r="T30" s="441"/>
      <c r="U30" s="441"/>
      <c r="V30" s="441"/>
      <c r="W30" s="441"/>
      <c r="X30" s="441"/>
      <c r="Y30" s="441"/>
      <c r="Z30" s="441"/>
      <c r="AA30" s="441"/>
      <c r="AB30" s="441"/>
      <c r="AC30" s="441"/>
      <c r="AD30" s="441"/>
      <c r="AE30" s="441"/>
    </row>
    <row r="31" spans="1:31" ht="12.75" customHeight="1">
      <c r="B31" s="217" t="s">
        <v>377</v>
      </c>
      <c r="C31" s="800"/>
      <c r="D31" s="800"/>
      <c r="E31" s="800"/>
      <c r="F31" s="800"/>
      <c r="G31" s="800"/>
      <c r="H31" s="800"/>
      <c r="I31" s="801"/>
      <c r="J31" s="805" t="e">
        <f>IF('Primary Input'!K$11=2,'Rental Income'!G8,'Rental Income'!G8*1.2)</f>
        <v>#N/A</v>
      </c>
      <c r="K31" s="800"/>
      <c r="L31" s="230">
        <f t="shared" si="10"/>
        <v>0</v>
      </c>
    </row>
    <row r="32" spans="1:31" ht="12.75" customHeight="1" thickBot="1">
      <c r="B32" s="217" t="str">
        <f>+B21</f>
        <v>Other</v>
      </c>
      <c r="C32" s="800"/>
      <c r="D32" s="800"/>
      <c r="E32" s="800"/>
      <c r="F32" s="800"/>
      <c r="G32" s="800"/>
      <c r="H32" s="800"/>
      <c r="I32" s="802"/>
      <c r="J32" s="805">
        <f>IF('Primary Input'!K$11=2,'Rental Income'!G9,'Rental Income'!G9*1.2)</f>
        <v>0</v>
      </c>
      <c r="K32" s="800"/>
      <c r="L32" s="230">
        <f t="shared" si="10"/>
        <v>0</v>
      </c>
    </row>
    <row r="33" spans="1:14">
      <c r="B33" s="101" t="s">
        <v>494</v>
      </c>
      <c r="C33" s="803">
        <f t="shared" ref="C33:I33" si="11">SUMPRODUCT(C15:C21,C26:C32)</f>
        <v>0</v>
      </c>
      <c r="D33" s="803">
        <f t="shared" si="11"/>
        <v>0</v>
      </c>
      <c r="E33" s="803">
        <f t="shared" si="11"/>
        <v>0</v>
      </c>
      <c r="F33" s="803">
        <f t="shared" si="11"/>
        <v>0</v>
      </c>
      <c r="G33" s="803">
        <f t="shared" si="11"/>
        <v>0</v>
      </c>
      <c r="H33" s="803">
        <f t="shared" si="11"/>
        <v>0</v>
      </c>
      <c r="I33" s="803">
        <f t="shared" si="11"/>
        <v>0</v>
      </c>
      <c r="J33" s="805"/>
      <c r="K33" s="803">
        <f>SUMPRODUCT(K15:K21,K26:K32)</f>
        <v>0</v>
      </c>
      <c r="L33" s="235">
        <f>SUM(L26:L32)</f>
        <v>0</v>
      </c>
      <c r="M33" s="844" t="e">
        <f>IF(L$10=L$33,"","!")</f>
        <v>#N/A</v>
      </c>
    </row>
    <row r="34" spans="1:14" ht="18" customHeight="1">
      <c r="B34" s="236"/>
      <c r="C34" s="236"/>
      <c r="D34" s="236"/>
      <c r="E34" s="236"/>
      <c r="F34" s="236"/>
      <c r="G34" s="236"/>
      <c r="H34" s="236"/>
      <c r="I34" s="236"/>
      <c r="J34" s="236"/>
      <c r="K34" s="236"/>
      <c r="L34" s="236"/>
    </row>
    <row r="35" spans="1:14" ht="18" customHeight="1" thickBot="1">
      <c r="A35" s="1399" t="s">
        <v>907</v>
      </c>
      <c r="B35" s="1399"/>
      <c r="C35" s="1399"/>
      <c r="D35" s="1399"/>
      <c r="E35" s="1399"/>
      <c r="F35" s="1399"/>
      <c r="G35" s="1399"/>
      <c r="H35" s="1399"/>
      <c r="I35" s="1399"/>
      <c r="J35" s="236"/>
      <c r="K35" s="236"/>
      <c r="L35" s="236"/>
      <c r="N35" s="831">
        <v>0.6</v>
      </c>
    </row>
    <row r="36" spans="1:14" ht="24.75" customHeight="1" thickTop="1" thickBot="1">
      <c r="B36" s="144" t="s">
        <v>96</v>
      </c>
      <c r="C36" s="145" t="s">
        <v>1041</v>
      </c>
      <c r="D36" s="145" t="s">
        <v>1042</v>
      </c>
      <c r="E36" s="145" t="s">
        <v>1043</v>
      </c>
      <c r="F36" s="145" t="s">
        <v>140</v>
      </c>
      <c r="G36" s="145" t="s">
        <v>141</v>
      </c>
      <c r="H36" s="145" t="s">
        <v>447</v>
      </c>
      <c r="I36" s="615" t="s">
        <v>245</v>
      </c>
      <c r="J36" s="804"/>
      <c r="K36" s="144" t="s">
        <v>1926</v>
      </c>
      <c r="L36" s="615" t="s">
        <v>1385</v>
      </c>
      <c r="N36" s="441"/>
    </row>
    <row r="37" spans="1:14" ht="14" thickTop="1">
      <c r="B37" s="215" t="s">
        <v>373</v>
      </c>
      <c r="C37" s="850" t="e">
        <f>($J26)/((6)/(2))</f>
        <v>#N/A</v>
      </c>
      <c r="D37" s="850" t="e">
        <f t="shared" ref="D37:D43" si="12">($J26)/((6)/(3))</f>
        <v>#N/A</v>
      </c>
      <c r="E37" s="850" t="e">
        <f t="shared" ref="E37:E43" si="13">($J26)/((6)/(4))</f>
        <v>#N/A</v>
      </c>
      <c r="F37" s="850" t="e">
        <f t="shared" ref="F37:F43" si="14">($J26)/((6)/(5))</f>
        <v>#N/A</v>
      </c>
      <c r="G37" s="850" t="e">
        <f t="shared" ref="G37:G43" si="15">+$J26</f>
        <v>#N/A</v>
      </c>
      <c r="H37" s="850" t="e">
        <f t="shared" ref="H37:H43" si="16">($J26)/((6)/(8))</f>
        <v>#N/A</v>
      </c>
      <c r="I37" s="850">
        <f t="shared" ref="I37:I43" si="17">+I3</f>
        <v>0</v>
      </c>
      <c r="J37" s="849"/>
      <c r="K37" s="850" t="e">
        <f t="shared" ref="K37:K43" si="18">+J15</f>
        <v>#N/A</v>
      </c>
      <c r="L37" s="230" t="e">
        <f t="shared" ref="L37:L43" si="19">SUMPRODUCT(C37:I37,C15:I15)+(K15*K26)</f>
        <v>#N/A</v>
      </c>
      <c r="N37" s="441"/>
    </row>
    <row r="38" spans="1:14">
      <c r="B38" s="217" t="s">
        <v>93</v>
      </c>
      <c r="C38" s="850" t="e">
        <f t="shared" ref="C38:C43" si="20">($J27)/((6)/(2))</f>
        <v>#N/A</v>
      </c>
      <c r="D38" s="850" t="e">
        <f t="shared" si="12"/>
        <v>#N/A</v>
      </c>
      <c r="E38" s="850" t="e">
        <f t="shared" si="13"/>
        <v>#N/A</v>
      </c>
      <c r="F38" s="850" t="e">
        <f t="shared" si="14"/>
        <v>#N/A</v>
      </c>
      <c r="G38" s="850" t="e">
        <f t="shared" si="15"/>
        <v>#N/A</v>
      </c>
      <c r="H38" s="850" t="e">
        <f t="shared" si="16"/>
        <v>#N/A</v>
      </c>
      <c r="I38" s="850">
        <f t="shared" si="17"/>
        <v>0</v>
      </c>
      <c r="J38" s="849"/>
      <c r="K38" s="850" t="e">
        <f t="shared" si="18"/>
        <v>#N/A</v>
      </c>
      <c r="L38" s="230" t="e">
        <f t="shared" si="19"/>
        <v>#N/A</v>
      </c>
    </row>
    <row r="39" spans="1:14">
      <c r="B39" s="217" t="s">
        <v>374</v>
      </c>
      <c r="C39" s="850" t="e">
        <f t="shared" si="20"/>
        <v>#N/A</v>
      </c>
      <c r="D39" s="850" t="e">
        <f t="shared" si="12"/>
        <v>#N/A</v>
      </c>
      <c r="E39" s="850" t="e">
        <f t="shared" si="13"/>
        <v>#N/A</v>
      </c>
      <c r="F39" s="850" t="e">
        <f t="shared" si="14"/>
        <v>#N/A</v>
      </c>
      <c r="G39" s="850" t="e">
        <f t="shared" si="15"/>
        <v>#N/A</v>
      </c>
      <c r="H39" s="850" t="e">
        <f t="shared" si="16"/>
        <v>#N/A</v>
      </c>
      <c r="I39" s="850">
        <f t="shared" si="17"/>
        <v>0</v>
      </c>
      <c r="J39" s="849"/>
      <c r="K39" s="850" t="e">
        <f t="shared" si="18"/>
        <v>#N/A</v>
      </c>
      <c r="L39" s="230" t="e">
        <f t="shared" si="19"/>
        <v>#N/A</v>
      </c>
    </row>
    <row r="40" spans="1:14">
      <c r="B40" s="217" t="s">
        <v>375</v>
      </c>
      <c r="C40" s="850" t="e">
        <f t="shared" si="20"/>
        <v>#N/A</v>
      </c>
      <c r="D40" s="850" t="e">
        <f t="shared" si="12"/>
        <v>#N/A</v>
      </c>
      <c r="E40" s="850" t="e">
        <f t="shared" si="13"/>
        <v>#N/A</v>
      </c>
      <c r="F40" s="850" t="e">
        <f t="shared" si="14"/>
        <v>#N/A</v>
      </c>
      <c r="G40" s="850" t="e">
        <f t="shared" si="15"/>
        <v>#N/A</v>
      </c>
      <c r="H40" s="850" t="e">
        <f t="shared" si="16"/>
        <v>#N/A</v>
      </c>
      <c r="I40" s="850">
        <f t="shared" si="17"/>
        <v>0</v>
      </c>
      <c r="J40" s="849"/>
      <c r="K40" s="850" t="e">
        <f t="shared" si="18"/>
        <v>#N/A</v>
      </c>
      <c r="L40" s="230" t="e">
        <f t="shared" si="19"/>
        <v>#N/A</v>
      </c>
    </row>
    <row r="41" spans="1:14">
      <c r="B41" s="217" t="s">
        <v>376</v>
      </c>
      <c r="C41" s="850" t="e">
        <f t="shared" si="20"/>
        <v>#N/A</v>
      </c>
      <c r="D41" s="850" t="e">
        <f t="shared" si="12"/>
        <v>#N/A</v>
      </c>
      <c r="E41" s="850" t="e">
        <f t="shared" si="13"/>
        <v>#N/A</v>
      </c>
      <c r="F41" s="850" t="e">
        <f t="shared" si="14"/>
        <v>#N/A</v>
      </c>
      <c r="G41" s="850" t="e">
        <f t="shared" si="15"/>
        <v>#N/A</v>
      </c>
      <c r="H41" s="850" t="e">
        <f t="shared" si="16"/>
        <v>#N/A</v>
      </c>
      <c r="I41" s="850">
        <f t="shared" si="17"/>
        <v>0</v>
      </c>
      <c r="J41" s="849"/>
      <c r="K41" s="850" t="e">
        <f t="shared" si="18"/>
        <v>#N/A</v>
      </c>
      <c r="L41" s="230" t="e">
        <f t="shared" si="19"/>
        <v>#N/A</v>
      </c>
    </row>
    <row r="42" spans="1:14">
      <c r="B42" s="217" t="s">
        <v>377</v>
      </c>
      <c r="C42" s="850" t="e">
        <f t="shared" si="20"/>
        <v>#N/A</v>
      </c>
      <c r="D42" s="850" t="e">
        <f t="shared" si="12"/>
        <v>#N/A</v>
      </c>
      <c r="E42" s="850" t="e">
        <f t="shared" si="13"/>
        <v>#N/A</v>
      </c>
      <c r="F42" s="850" t="e">
        <f t="shared" si="14"/>
        <v>#N/A</v>
      </c>
      <c r="G42" s="850" t="e">
        <f t="shared" si="15"/>
        <v>#N/A</v>
      </c>
      <c r="H42" s="850" t="e">
        <f t="shared" si="16"/>
        <v>#N/A</v>
      </c>
      <c r="I42" s="850">
        <f t="shared" si="17"/>
        <v>0</v>
      </c>
      <c r="J42" s="849"/>
      <c r="K42" s="850" t="e">
        <f t="shared" si="18"/>
        <v>#N/A</v>
      </c>
      <c r="L42" s="230" t="e">
        <f t="shared" si="19"/>
        <v>#N/A</v>
      </c>
    </row>
    <row r="43" spans="1:14" ht="14" thickBot="1">
      <c r="B43" s="217" t="str">
        <f>+B32</f>
        <v>Other</v>
      </c>
      <c r="C43" s="850">
        <f t="shared" si="20"/>
        <v>0</v>
      </c>
      <c r="D43" s="850">
        <f t="shared" si="12"/>
        <v>0</v>
      </c>
      <c r="E43" s="850">
        <f t="shared" si="13"/>
        <v>0</v>
      </c>
      <c r="F43" s="850">
        <f t="shared" si="14"/>
        <v>0</v>
      </c>
      <c r="G43" s="850">
        <f t="shared" si="15"/>
        <v>0</v>
      </c>
      <c r="H43" s="850">
        <f t="shared" si="16"/>
        <v>0</v>
      </c>
      <c r="I43" s="850">
        <f t="shared" si="17"/>
        <v>0</v>
      </c>
      <c r="J43" s="849"/>
      <c r="K43" s="850">
        <f t="shared" si="18"/>
        <v>0</v>
      </c>
      <c r="L43" s="230">
        <f t="shared" si="19"/>
        <v>0</v>
      </c>
    </row>
    <row r="44" spans="1:14">
      <c r="B44" s="101" t="s">
        <v>494</v>
      </c>
      <c r="C44" s="803" t="e">
        <f t="shared" ref="C44:I44" si="21">SUMPRODUCT(C26:C32,C37:C43)</f>
        <v>#N/A</v>
      </c>
      <c r="D44" s="803" t="e">
        <f t="shared" si="21"/>
        <v>#N/A</v>
      </c>
      <c r="E44" s="803" t="e">
        <f t="shared" si="21"/>
        <v>#N/A</v>
      </c>
      <c r="F44" s="803" t="e">
        <f t="shared" si="21"/>
        <v>#N/A</v>
      </c>
      <c r="G44" s="803" t="e">
        <f t="shared" si="21"/>
        <v>#N/A</v>
      </c>
      <c r="H44" s="803" t="e">
        <f t="shared" si="21"/>
        <v>#N/A</v>
      </c>
      <c r="I44" s="803">
        <f t="shared" si="21"/>
        <v>0</v>
      </c>
      <c r="J44" s="805"/>
      <c r="K44" s="803" t="e">
        <f>SUMPRODUCT(K26:K32,K37:K43)</f>
        <v>#N/A</v>
      </c>
      <c r="L44" s="235" t="e">
        <f>SUM(L37:L43)</f>
        <v>#N/A</v>
      </c>
      <c r="M44" s="844"/>
    </row>
    <row r="45" spans="1:14">
      <c r="B45" s="236"/>
      <c r="C45" s="236"/>
      <c r="D45" s="236"/>
      <c r="E45" s="236"/>
      <c r="F45" s="236"/>
      <c r="G45" s="236"/>
      <c r="H45" s="236"/>
      <c r="I45" s="236"/>
      <c r="J45" s="236"/>
      <c r="K45" s="236"/>
      <c r="L45" s="236"/>
    </row>
    <row r="46" spans="1:14">
      <c r="B46" s="236"/>
      <c r="C46" s="236"/>
      <c r="D46" s="236"/>
      <c r="E46" s="236"/>
      <c r="F46" s="236"/>
      <c r="G46" s="236"/>
      <c r="H46" s="236"/>
      <c r="I46" s="236"/>
      <c r="J46" s="236"/>
      <c r="K46" s="236"/>
      <c r="L46" s="236"/>
    </row>
    <row r="47" spans="1:14" ht="14" thickBot="1">
      <c r="A47" s="1399" t="s">
        <v>652</v>
      </c>
      <c r="B47" s="1399"/>
      <c r="C47" s="1399"/>
      <c r="D47" s="1399"/>
      <c r="E47" s="1399"/>
      <c r="F47" s="1399"/>
      <c r="G47" s="1399"/>
      <c r="H47" s="1399"/>
      <c r="I47" s="1399"/>
      <c r="J47" s="236"/>
      <c r="K47" s="236"/>
      <c r="L47" s="236"/>
      <c r="N47" s="831"/>
    </row>
    <row r="48" spans="1:14" ht="26" thickTop="1" thickBot="1">
      <c r="B48" s="144" t="s">
        <v>96</v>
      </c>
      <c r="C48" s="145" t="s">
        <v>1041</v>
      </c>
      <c r="D48" s="145" t="s">
        <v>1042</v>
      </c>
      <c r="E48" s="145" t="s">
        <v>1043</v>
      </c>
      <c r="F48" s="145" t="s">
        <v>140</v>
      </c>
      <c r="G48" s="145" t="s">
        <v>141</v>
      </c>
      <c r="H48" s="145" t="s">
        <v>447</v>
      </c>
      <c r="I48" s="615" t="s">
        <v>245</v>
      </c>
      <c r="J48" s="804"/>
      <c r="K48" s="144" t="s">
        <v>1926</v>
      </c>
      <c r="L48" s="236"/>
      <c r="N48" s="441"/>
    </row>
    <row r="49" spans="1:14" ht="14" thickTop="1">
      <c r="B49" s="215" t="s">
        <v>373</v>
      </c>
      <c r="C49" s="851" t="e">
        <f t="shared" ref="C49:H49" si="22">IF(C26&gt;MIN(C37,$F3),"Error","OK")</f>
        <v>#N/A</v>
      </c>
      <c r="D49" s="851" t="e">
        <f t="shared" si="22"/>
        <v>#N/A</v>
      </c>
      <c r="E49" s="851" t="e">
        <f t="shared" si="22"/>
        <v>#N/A</v>
      </c>
      <c r="F49" s="851" t="e">
        <f t="shared" si="22"/>
        <v>#N/A</v>
      </c>
      <c r="G49" s="851" t="e">
        <f t="shared" si="22"/>
        <v>#N/A</v>
      </c>
      <c r="H49" s="851" t="e">
        <f t="shared" si="22"/>
        <v>#N/A</v>
      </c>
      <c r="I49" s="851" t="str">
        <f t="shared" ref="I49:I54" si="23">IF(I26&gt;I37,"Error","OK")</f>
        <v>OK</v>
      </c>
      <c r="J49" s="805"/>
      <c r="K49" s="851" t="e">
        <f t="shared" ref="K49:K55" si="24">IF(K26&gt;K37,"Error","OK")</f>
        <v>#N/A</v>
      </c>
      <c r="L49" s="236"/>
      <c r="N49" s="441"/>
    </row>
    <row r="50" spans="1:14">
      <c r="B50" s="217" t="s">
        <v>93</v>
      </c>
      <c r="C50" s="851" t="e">
        <f t="shared" ref="C50:H50" si="25">IF(C27&gt;MIN(C38,$F4),"Error","OK")</f>
        <v>#N/A</v>
      </c>
      <c r="D50" s="851" t="e">
        <f t="shared" si="25"/>
        <v>#N/A</v>
      </c>
      <c r="E50" s="851" t="e">
        <f t="shared" si="25"/>
        <v>#N/A</v>
      </c>
      <c r="F50" s="851" t="e">
        <f t="shared" si="25"/>
        <v>#N/A</v>
      </c>
      <c r="G50" s="851" t="e">
        <f t="shared" si="25"/>
        <v>#N/A</v>
      </c>
      <c r="H50" s="851" t="e">
        <f t="shared" si="25"/>
        <v>#N/A</v>
      </c>
      <c r="I50" s="851" t="str">
        <f t="shared" si="23"/>
        <v>OK</v>
      </c>
      <c r="J50" s="805"/>
      <c r="K50" s="851" t="e">
        <f t="shared" si="24"/>
        <v>#N/A</v>
      </c>
      <c r="L50" s="236"/>
    </row>
    <row r="51" spans="1:14">
      <c r="B51" s="217" t="s">
        <v>374</v>
      </c>
      <c r="C51" s="851" t="e">
        <f t="shared" ref="C51:H51" si="26">IF(C28&gt;MIN(C39,$F5),"Error","OK")</f>
        <v>#N/A</v>
      </c>
      <c r="D51" s="851" t="e">
        <f t="shared" si="26"/>
        <v>#N/A</v>
      </c>
      <c r="E51" s="851" t="e">
        <f t="shared" si="26"/>
        <v>#N/A</v>
      </c>
      <c r="F51" s="851" t="e">
        <f t="shared" si="26"/>
        <v>#N/A</v>
      </c>
      <c r="G51" s="851" t="e">
        <f t="shared" si="26"/>
        <v>#N/A</v>
      </c>
      <c r="H51" s="851" t="e">
        <f t="shared" si="26"/>
        <v>#N/A</v>
      </c>
      <c r="I51" s="851" t="str">
        <f t="shared" si="23"/>
        <v>OK</v>
      </c>
      <c r="J51" s="805"/>
      <c r="K51" s="851" t="e">
        <f t="shared" si="24"/>
        <v>#N/A</v>
      </c>
      <c r="L51" s="236"/>
    </row>
    <row r="52" spans="1:14">
      <c r="B52" s="217" t="s">
        <v>375</v>
      </c>
      <c r="C52" s="851" t="e">
        <f t="shared" ref="C52:H52" si="27">IF(C29&gt;MIN(C40,$F6),"Error","OK")</f>
        <v>#N/A</v>
      </c>
      <c r="D52" s="851" t="e">
        <f t="shared" si="27"/>
        <v>#N/A</v>
      </c>
      <c r="E52" s="851" t="e">
        <f t="shared" si="27"/>
        <v>#N/A</v>
      </c>
      <c r="F52" s="851" t="e">
        <f t="shared" si="27"/>
        <v>#N/A</v>
      </c>
      <c r="G52" s="851" t="e">
        <f t="shared" si="27"/>
        <v>#N/A</v>
      </c>
      <c r="H52" s="851" t="e">
        <f t="shared" si="27"/>
        <v>#N/A</v>
      </c>
      <c r="I52" s="851" t="str">
        <f t="shared" si="23"/>
        <v>OK</v>
      </c>
      <c r="J52" s="805"/>
      <c r="K52" s="851" t="e">
        <f t="shared" si="24"/>
        <v>#N/A</v>
      </c>
      <c r="L52" s="236"/>
    </row>
    <row r="53" spans="1:14">
      <c r="B53" s="217" t="s">
        <v>376</v>
      </c>
      <c r="C53" s="851" t="e">
        <f t="shared" ref="C53:H53" si="28">IF(C30&gt;MIN(C41,$F7),"Error","OK")</f>
        <v>#N/A</v>
      </c>
      <c r="D53" s="851" t="e">
        <f t="shared" si="28"/>
        <v>#N/A</v>
      </c>
      <c r="E53" s="851" t="e">
        <f t="shared" si="28"/>
        <v>#N/A</v>
      </c>
      <c r="F53" s="851" t="e">
        <f t="shared" si="28"/>
        <v>#N/A</v>
      </c>
      <c r="G53" s="851" t="e">
        <f t="shared" si="28"/>
        <v>#N/A</v>
      </c>
      <c r="H53" s="851" t="e">
        <f t="shared" si="28"/>
        <v>#N/A</v>
      </c>
      <c r="I53" s="851" t="str">
        <f t="shared" si="23"/>
        <v>OK</v>
      </c>
      <c r="J53" s="805"/>
      <c r="K53" s="851" t="e">
        <f t="shared" si="24"/>
        <v>#N/A</v>
      </c>
      <c r="L53" s="236"/>
    </row>
    <row r="54" spans="1:14">
      <c r="B54" s="217" t="s">
        <v>377</v>
      </c>
      <c r="C54" s="851" t="e">
        <f t="shared" ref="C54:H54" si="29">IF(C31&gt;MIN(C42,$F8),"Error","OK")</f>
        <v>#N/A</v>
      </c>
      <c r="D54" s="851" t="e">
        <f t="shared" si="29"/>
        <v>#N/A</v>
      </c>
      <c r="E54" s="851" t="e">
        <f t="shared" si="29"/>
        <v>#N/A</v>
      </c>
      <c r="F54" s="851" t="e">
        <f t="shared" si="29"/>
        <v>#N/A</v>
      </c>
      <c r="G54" s="851" t="e">
        <f t="shared" si="29"/>
        <v>#N/A</v>
      </c>
      <c r="H54" s="851" t="e">
        <f t="shared" si="29"/>
        <v>#N/A</v>
      </c>
      <c r="I54" s="851" t="str">
        <f t="shared" si="23"/>
        <v>OK</v>
      </c>
      <c r="J54" s="805"/>
      <c r="K54" s="851" t="e">
        <f t="shared" si="24"/>
        <v>#N/A</v>
      </c>
      <c r="L54" s="236"/>
    </row>
    <row r="55" spans="1:14">
      <c r="B55" s="217" t="s">
        <v>80</v>
      </c>
      <c r="C55" s="852" t="str">
        <f t="shared" ref="C55:I55" si="30">IF(C32&gt;C43,"Error","OK")</f>
        <v>OK</v>
      </c>
      <c r="D55" s="852" t="str">
        <f t="shared" si="30"/>
        <v>OK</v>
      </c>
      <c r="E55" s="852" t="str">
        <f t="shared" si="30"/>
        <v>OK</v>
      </c>
      <c r="F55" s="852" t="str">
        <f t="shared" si="30"/>
        <v>OK</v>
      </c>
      <c r="G55" s="852" t="str">
        <f t="shared" si="30"/>
        <v>OK</v>
      </c>
      <c r="H55" s="852" t="str">
        <f t="shared" si="30"/>
        <v>OK</v>
      </c>
      <c r="I55" s="852" t="str">
        <f t="shared" si="30"/>
        <v>OK</v>
      </c>
      <c r="J55" s="805"/>
      <c r="K55" s="852" t="str">
        <f t="shared" si="24"/>
        <v>OK</v>
      </c>
      <c r="L55" s="236"/>
    </row>
    <row r="56" spans="1:14">
      <c r="B56" s="236"/>
      <c r="C56" s="236"/>
      <c r="D56" s="236"/>
      <c r="E56" s="236"/>
      <c r="F56" s="236"/>
      <c r="G56" s="236"/>
      <c r="H56" s="236"/>
      <c r="I56" s="236"/>
      <c r="J56" s="236"/>
      <c r="K56" s="236"/>
      <c r="L56" s="236"/>
      <c r="M56" s="844"/>
    </row>
    <row r="57" spans="1:14">
      <c r="B57" s="236"/>
      <c r="C57" s="236"/>
      <c r="D57" s="236"/>
      <c r="E57" s="236"/>
      <c r="F57" s="236"/>
      <c r="G57" s="236"/>
      <c r="H57" s="236"/>
      <c r="I57" s="236"/>
      <c r="J57" s="236"/>
      <c r="K57" s="236"/>
      <c r="L57" s="236"/>
    </row>
    <row r="58" spans="1:14" ht="14" thickBot="1">
      <c r="A58" s="381" t="s">
        <v>38</v>
      </c>
      <c r="B58" s="236"/>
      <c r="C58" s="236"/>
      <c r="D58" s="236"/>
      <c r="E58" s="236"/>
      <c r="F58" s="236"/>
      <c r="G58" s="236"/>
      <c r="H58" s="236"/>
      <c r="I58" s="236"/>
      <c r="J58" s="236"/>
      <c r="K58" s="236"/>
      <c r="L58" s="236"/>
    </row>
    <row r="59" spans="1:14" ht="15" thickTop="1" thickBot="1">
      <c r="B59" s="144" t="s">
        <v>1576</v>
      </c>
      <c r="C59" s="145" t="s">
        <v>373</v>
      </c>
      <c r="D59" s="145" t="s">
        <v>93</v>
      </c>
      <c r="E59" s="145" t="s">
        <v>374</v>
      </c>
      <c r="F59" s="145" t="s">
        <v>375</v>
      </c>
      <c r="G59" s="145" t="s">
        <v>376</v>
      </c>
      <c r="H59" s="614" t="s">
        <v>377</v>
      </c>
      <c r="I59" s="145" t="s">
        <v>133</v>
      </c>
      <c r="J59" s="615" t="s">
        <v>134</v>
      </c>
      <c r="L59" s="374" t="e">
        <f>Cover!$H$6</f>
        <v>#N/A</v>
      </c>
    </row>
    <row r="60" spans="1:14" ht="14" thickTop="1">
      <c r="B60" s="142" t="s">
        <v>1577</v>
      </c>
      <c r="C60" s="611"/>
      <c r="D60" s="611"/>
      <c r="E60" s="611"/>
      <c r="F60" s="611"/>
      <c r="G60" s="611"/>
      <c r="H60" s="611"/>
      <c r="I60" s="612" t="s">
        <v>135</v>
      </c>
      <c r="J60" s="613"/>
    </row>
    <row r="61" spans="1:14">
      <c r="B61" s="4" t="s">
        <v>1578</v>
      </c>
      <c r="C61" s="110"/>
      <c r="D61" s="110"/>
      <c r="E61" s="110"/>
      <c r="F61" s="110"/>
      <c r="G61" s="110"/>
      <c r="H61" s="110"/>
      <c r="I61" s="237" t="s">
        <v>139</v>
      </c>
      <c r="J61" s="241"/>
    </row>
    <row r="62" spans="1:14">
      <c r="B62" s="4" t="s">
        <v>1579</v>
      </c>
      <c r="C62" s="110"/>
      <c r="D62" s="110"/>
      <c r="E62" s="110"/>
      <c r="F62" s="110"/>
      <c r="G62" s="110"/>
      <c r="H62" s="110"/>
      <c r="I62" s="237" t="s">
        <v>136</v>
      </c>
      <c r="J62" s="241"/>
    </row>
    <row r="63" spans="1:14">
      <c r="B63" s="4" t="s">
        <v>1580</v>
      </c>
      <c r="C63" s="110"/>
      <c r="D63" s="110"/>
      <c r="E63" s="110"/>
      <c r="F63" s="110"/>
      <c r="G63" s="110"/>
      <c r="H63" s="110"/>
      <c r="I63" s="237" t="s">
        <v>137</v>
      </c>
      <c r="J63" s="241"/>
    </row>
    <row r="64" spans="1:14">
      <c r="B64" s="4" t="s">
        <v>1581</v>
      </c>
      <c r="C64" s="110"/>
      <c r="D64" s="110"/>
      <c r="E64" s="110"/>
      <c r="F64" s="110"/>
      <c r="G64" s="110"/>
      <c r="H64" s="110"/>
      <c r="I64" s="237" t="s">
        <v>138</v>
      </c>
      <c r="J64" s="241"/>
    </row>
    <row r="65" spans="2:13">
      <c r="B65" s="4" t="s">
        <v>1582</v>
      </c>
      <c r="C65" s="110"/>
      <c r="D65" s="110"/>
      <c r="E65" s="110"/>
      <c r="F65" s="110"/>
      <c r="G65" s="110"/>
      <c r="H65" s="110"/>
      <c r="I65" s="237" t="s">
        <v>80</v>
      </c>
      <c r="J65" s="241"/>
    </row>
    <row r="66" spans="2:13">
      <c r="B66" s="4" t="s">
        <v>1583</v>
      </c>
      <c r="C66" s="110"/>
      <c r="D66" s="110"/>
      <c r="E66" s="110"/>
      <c r="F66" s="110"/>
      <c r="G66" s="110"/>
      <c r="H66" s="110"/>
      <c r="I66" s="1390"/>
      <c r="J66" s="1391"/>
    </row>
    <row r="67" spans="2:13">
      <c r="B67" s="4" t="s">
        <v>1584</v>
      </c>
      <c r="C67" s="110"/>
      <c r="D67" s="110"/>
      <c r="E67" s="110"/>
      <c r="F67" s="110"/>
      <c r="G67" s="110"/>
      <c r="H67" s="110"/>
      <c r="I67" s="1392"/>
      <c r="J67" s="1393"/>
    </row>
    <row r="68" spans="2:13">
      <c r="B68" s="4" t="s">
        <v>80</v>
      </c>
      <c r="C68" s="110"/>
      <c r="D68" s="110"/>
      <c r="E68" s="110"/>
      <c r="F68" s="110"/>
      <c r="G68" s="110"/>
      <c r="H68" s="110"/>
      <c r="I68" s="1392"/>
      <c r="J68" s="1393"/>
    </row>
    <row r="69" spans="2:13">
      <c r="B69" s="100" t="s">
        <v>94</v>
      </c>
      <c r="C69" s="102">
        <f t="shared" ref="C69:H69" si="31">SUM(C60:C68)</f>
        <v>0</v>
      </c>
      <c r="D69" s="102">
        <f t="shared" si="31"/>
        <v>0</v>
      </c>
      <c r="E69" s="102">
        <f t="shared" si="31"/>
        <v>0</v>
      </c>
      <c r="F69" s="102">
        <f t="shared" si="31"/>
        <v>0</v>
      </c>
      <c r="G69" s="102">
        <f t="shared" si="31"/>
        <v>0</v>
      </c>
      <c r="H69" s="102">
        <f t="shared" si="31"/>
        <v>0</v>
      </c>
      <c r="I69" s="1394"/>
      <c r="J69" s="1395"/>
    </row>
    <row r="70" spans="2:13">
      <c r="B70" s="220"/>
      <c r="C70" s="221"/>
      <c r="D70" s="221"/>
      <c r="E70" s="221"/>
      <c r="F70" s="221"/>
      <c r="G70" s="221"/>
      <c r="H70" s="221"/>
    </row>
    <row r="71" spans="2:13">
      <c r="B71" s="122"/>
      <c r="C71" s="122"/>
      <c r="D71" s="122"/>
      <c r="E71" s="122"/>
      <c r="F71" s="122"/>
      <c r="G71" s="122"/>
      <c r="H71" s="122"/>
      <c r="I71" s="122"/>
    </row>
    <row r="72" spans="2:13" ht="28">
      <c r="B72" s="861"/>
      <c r="C72" s="861"/>
      <c r="D72" s="861"/>
      <c r="E72" s="1400" t="s">
        <v>643</v>
      </c>
      <c r="F72" s="1400"/>
      <c r="G72" s="871" t="s">
        <v>644</v>
      </c>
      <c r="H72" s="872" t="s">
        <v>645</v>
      </c>
      <c r="I72" s="122"/>
      <c r="J72" s="441"/>
      <c r="K72" s="441"/>
      <c r="L72" s="441"/>
      <c r="M72" s="441"/>
    </row>
    <row r="73" spans="2:13">
      <c r="B73" s="861"/>
      <c r="C73" s="1408" t="s">
        <v>646</v>
      </c>
      <c r="D73" s="1409"/>
      <c r="E73" s="1410"/>
      <c r="F73" s="1411"/>
      <c r="G73" s="863"/>
      <c r="H73" s="864"/>
      <c r="J73" s="1413" t="s">
        <v>127</v>
      </c>
      <c r="K73" s="1413"/>
      <c r="L73" s="885" t="s">
        <v>126</v>
      </c>
      <c r="M73" s="441"/>
    </row>
    <row r="74" spans="2:13">
      <c r="B74" s="2"/>
      <c r="C74" s="1408" t="s">
        <v>649</v>
      </c>
      <c r="D74" s="1409"/>
      <c r="E74" s="1401"/>
      <c r="F74" s="1411"/>
      <c r="G74" s="858"/>
      <c r="H74" s="866"/>
      <c r="J74" s="1413"/>
      <c r="K74" s="1413"/>
      <c r="L74" s="441"/>
      <c r="M74" s="441"/>
    </row>
    <row r="75" spans="2:13">
      <c r="B75" s="2"/>
      <c r="C75" s="1408" t="s">
        <v>650</v>
      </c>
      <c r="D75" s="1409"/>
      <c r="E75" s="865"/>
      <c r="F75" s="862"/>
      <c r="G75" s="858"/>
      <c r="H75" s="866"/>
      <c r="J75" s="441"/>
      <c r="K75" s="441"/>
      <c r="L75" s="441" t="s">
        <v>126</v>
      </c>
      <c r="M75" s="441"/>
    </row>
    <row r="76" spans="2:13">
      <c r="B76" s="2"/>
      <c r="C76" s="1408" t="s">
        <v>647</v>
      </c>
      <c r="D76" s="1409"/>
      <c r="E76" s="1401"/>
      <c r="F76" s="1402"/>
      <c r="G76" s="858"/>
      <c r="H76" s="866"/>
      <c r="J76" s="441"/>
      <c r="K76" s="441"/>
      <c r="L76" s="441" t="s">
        <v>91</v>
      </c>
      <c r="M76" s="441"/>
    </row>
    <row r="77" spans="2:13">
      <c r="B77" s="1403" t="s">
        <v>648</v>
      </c>
      <c r="C77" s="1403"/>
      <c r="D77" s="1404"/>
      <c r="E77" s="1401"/>
      <c r="F77" s="1402"/>
      <c r="G77" s="858"/>
      <c r="H77" s="870"/>
      <c r="J77" s="441"/>
      <c r="K77" s="441"/>
      <c r="L77" s="441"/>
      <c r="M77" s="441"/>
    </row>
    <row r="78" spans="2:13">
      <c r="B78" s="2"/>
      <c r="C78" s="867"/>
      <c r="D78" s="2" t="s">
        <v>94</v>
      </c>
      <c r="E78" s="1412">
        <f>SUM(E73:F77)</f>
        <v>0</v>
      </c>
      <c r="F78" s="1412"/>
      <c r="G78" s="868">
        <f>SUM(G73:G77)</f>
        <v>0</v>
      </c>
      <c r="H78" s="869">
        <f>SUM(H73:H77)</f>
        <v>0</v>
      </c>
    </row>
    <row r="80" spans="2:13">
      <c r="B80" s="190" t="s">
        <v>651</v>
      </c>
    </row>
    <row r="81" spans="2:12">
      <c r="B81" s="1405"/>
      <c r="C81" s="1406"/>
      <c r="D81" s="1406"/>
      <c r="E81" s="1406"/>
      <c r="F81" s="1406"/>
      <c r="G81" s="1406"/>
      <c r="H81" s="1406"/>
      <c r="I81" s="1406"/>
      <c r="J81" s="1406"/>
      <c r="K81" s="1406"/>
      <c r="L81" s="1407"/>
    </row>
    <row r="82" spans="2:12">
      <c r="B82" s="1405"/>
      <c r="C82" s="1406"/>
      <c r="D82" s="1406"/>
      <c r="E82" s="1406"/>
      <c r="F82" s="1406"/>
      <c r="G82" s="1406"/>
      <c r="H82" s="1406"/>
      <c r="I82" s="1406"/>
      <c r="J82" s="1406"/>
      <c r="K82" s="1406"/>
      <c r="L82" s="1407"/>
    </row>
    <row r="83" spans="2:12">
      <c r="B83" s="1405"/>
      <c r="C83" s="1406"/>
      <c r="D83" s="1406"/>
      <c r="E83" s="1406"/>
      <c r="F83" s="1406"/>
      <c r="G83" s="1406"/>
      <c r="H83" s="1406"/>
      <c r="I83" s="1406"/>
      <c r="J83" s="1406"/>
      <c r="K83" s="1406"/>
      <c r="L83" s="1407"/>
    </row>
    <row r="84" spans="2:12">
      <c r="B84" s="1405"/>
      <c r="C84" s="1406"/>
      <c r="D84" s="1406"/>
      <c r="E84" s="1406"/>
      <c r="F84" s="1406"/>
      <c r="G84" s="1406"/>
      <c r="H84" s="1406"/>
      <c r="I84" s="1406"/>
      <c r="J84" s="1406"/>
      <c r="K84" s="1406"/>
      <c r="L84" s="1407"/>
    </row>
    <row r="85" spans="2:12">
      <c r="B85" s="1405"/>
      <c r="C85" s="1406"/>
      <c r="D85" s="1406"/>
      <c r="E85" s="1406"/>
      <c r="F85" s="1406"/>
      <c r="G85" s="1406"/>
      <c r="H85" s="1406"/>
      <c r="I85" s="1406"/>
      <c r="J85" s="1406"/>
      <c r="K85" s="1406"/>
      <c r="L85" s="1407"/>
    </row>
    <row r="86" spans="2:12">
      <c r="B86" s="1405"/>
      <c r="C86" s="1406"/>
      <c r="D86" s="1406"/>
      <c r="E86" s="1406"/>
      <c r="F86" s="1406"/>
      <c r="G86" s="1406"/>
      <c r="H86" s="1406"/>
      <c r="I86" s="1406"/>
      <c r="J86" s="1406"/>
      <c r="K86" s="1406"/>
      <c r="L86" s="1407"/>
    </row>
    <row r="87" spans="2:12">
      <c r="B87" s="1405"/>
      <c r="C87" s="1406"/>
      <c r="D87" s="1406"/>
      <c r="E87" s="1406"/>
      <c r="F87" s="1406"/>
      <c r="G87" s="1406"/>
      <c r="H87" s="1406"/>
      <c r="I87" s="1406"/>
      <c r="J87" s="1406"/>
      <c r="K87" s="1406"/>
      <c r="L87" s="1407"/>
    </row>
    <row r="88" spans="2:12">
      <c r="B88" s="1405"/>
      <c r="C88" s="1406"/>
      <c r="D88" s="1406"/>
      <c r="E88" s="1406"/>
      <c r="F88" s="1406"/>
      <c r="G88" s="1406"/>
      <c r="H88" s="1406"/>
      <c r="I88" s="1406"/>
      <c r="J88" s="1406"/>
      <c r="K88" s="1406"/>
      <c r="L88" s="1407"/>
    </row>
    <row r="89" spans="2:12">
      <c r="B89" s="1405"/>
      <c r="C89" s="1406"/>
      <c r="D89" s="1406"/>
      <c r="E89" s="1406"/>
      <c r="F89" s="1406"/>
      <c r="G89" s="1406"/>
      <c r="H89" s="1406"/>
      <c r="I89" s="1406"/>
      <c r="J89" s="1406"/>
      <c r="K89" s="1406"/>
      <c r="L89" s="1407"/>
    </row>
    <row r="90" spans="2:12">
      <c r="B90" s="1405"/>
      <c r="C90" s="1406"/>
      <c r="D90" s="1406"/>
      <c r="E90" s="1406"/>
      <c r="F90" s="1406"/>
      <c r="G90" s="1406"/>
      <c r="H90" s="1406"/>
      <c r="I90" s="1406"/>
      <c r="J90" s="1406"/>
      <c r="K90" s="1406"/>
      <c r="L90" s="1407"/>
    </row>
    <row r="91" spans="2:12">
      <c r="B91" s="1405"/>
      <c r="C91" s="1406"/>
      <c r="D91" s="1406"/>
      <c r="E91" s="1406"/>
      <c r="F91" s="1406"/>
      <c r="G91" s="1406"/>
      <c r="H91" s="1406"/>
      <c r="I91" s="1406"/>
      <c r="J91" s="1406"/>
      <c r="K91" s="1406"/>
      <c r="L91" s="1407"/>
    </row>
    <row r="92" spans="2:12">
      <c r="B92" s="1405"/>
      <c r="C92" s="1406"/>
      <c r="D92" s="1406"/>
      <c r="E92" s="1406"/>
      <c r="F92" s="1406"/>
      <c r="G92" s="1406"/>
      <c r="H92" s="1406"/>
      <c r="I92" s="1406"/>
      <c r="J92" s="1406"/>
      <c r="K92" s="1406"/>
      <c r="L92" s="1407"/>
    </row>
  </sheetData>
  <sheetProtection password="CCBC" sheet="1" objects="1" scenarios="1"/>
  <mergeCells count="32">
    <mergeCell ref="B85:L85"/>
    <mergeCell ref="B91:L91"/>
    <mergeCell ref="B92:L92"/>
    <mergeCell ref="B87:L87"/>
    <mergeCell ref="B88:L88"/>
    <mergeCell ref="B89:L89"/>
    <mergeCell ref="B90:L90"/>
    <mergeCell ref="B86:L86"/>
    <mergeCell ref="E72:F72"/>
    <mergeCell ref="E76:F76"/>
    <mergeCell ref="B77:D77"/>
    <mergeCell ref="E77:F77"/>
    <mergeCell ref="B84:L84"/>
    <mergeCell ref="C73:D73"/>
    <mergeCell ref="E73:F73"/>
    <mergeCell ref="B83:L83"/>
    <mergeCell ref="C74:D74"/>
    <mergeCell ref="E74:F74"/>
    <mergeCell ref="E78:F78"/>
    <mergeCell ref="C75:D75"/>
    <mergeCell ref="B81:L81"/>
    <mergeCell ref="B82:L82"/>
    <mergeCell ref="C76:D76"/>
    <mergeCell ref="J73:K74"/>
    <mergeCell ref="B11:I11"/>
    <mergeCell ref="I66:J69"/>
    <mergeCell ref="C13:I13"/>
    <mergeCell ref="J13:K13"/>
    <mergeCell ref="C24:I24"/>
    <mergeCell ref="K24:L24"/>
    <mergeCell ref="A35:I35"/>
    <mergeCell ref="A47:I47"/>
  </mergeCells>
  <phoneticPr fontId="0" type="noConversion"/>
  <conditionalFormatting sqref="K49:K55 C49:I55">
    <cfRule type="cellIs" dxfId="0" priority="1" stopIfTrue="1" operator="equal">
      <formula>"Error"</formula>
    </cfRule>
  </conditionalFormatting>
  <dataValidations count="3">
    <dataValidation type="list" allowBlank="1" showInputMessage="1" showErrorMessage="1" sqref="J22" xr:uid="{00000000-0002-0000-0400-000000000000}">
      <formula1>$N$22:$N$24</formula1>
    </dataValidation>
    <dataValidation type="list" allowBlank="1" showInputMessage="1" showErrorMessage="1" sqref="L13" xr:uid="{00000000-0002-0000-0400-000001000000}">
      <formula1>$N$13:$N$15</formula1>
    </dataValidation>
    <dataValidation type="list" showInputMessage="1" showErrorMessage="1" sqref="L73" xr:uid="{00000000-0002-0000-0400-000002000000}">
      <formula1>$L$74:$L$76</formula1>
    </dataValidation>
  </dataValidations>
  <printOptions horizontalCentered="1" verticalCentered="1"/>
  <pageMargins left="0.75" right="0.75" top="1" bottom="1" header="0.5" footer="0.5"/>
  <pageSetup scale="84" orientation="landscape" r:id="rId1"/>
  <headerFooter alignWithMargins="0"/>
  <rowBreaks count="2" manualBreakCount="2">
    <brk id="34" max="12" man="1"/>
    <brk id="69" max="12"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A1:H194"/>
  <sheetViews>
    <sheetView zoomScaleNormal="100" workbookViewId="0">
      <selection activeCell="L5" sqref="L5"/>
    </sheetView>
  </sheetViews>
  <sheetFormatPr baseColWidth="10" defaultColWidth="9.1640625" defaultRowHeight="13"/>
  <cols>
    <col min="1" max="1" width="2.6640625" style="190" customWidth="1"/>
    <col min="2" max="3" width="18.6640625" style="190" customWidth="1"/>
    <col min="4" max="4" width="13.6640625" style="190" customWidth="1"/>
    <col min="5" max="5" width="7.5" style="190" customWidth="1"/>
    <col min="6" max="6" width="24.6640625" style="190" customWidth="1"/>
    <col min="7" max="7" width="3.6640625" style="190" customWidth="1"/>
    <col min="8" max="16384" width="9.1640625" style="190"/>
  </cols>
  <sheetData>
    <row r="1" spans="1:6" ht="70.5" customHeight="1" thickBot="1">
      <c r="A1" s="1124" t="s">
        <v>1591</v>
      </c>
      <c r="B1" s="354"/>
      <c r="C1" s="1414" t="s">
        <v>1196</v>
      </c>
      <c r="D1" s="1414"/>
      <c r="E1" s="879">
        <f>+Name</f>
        <v>0</v>
      </c>
      <c r="F1" s="374" t="e">
        <f>Cover!$H$6</f>
        <v>#N/A</v>
      </c>
    </row>
    <row r="2" spans="1:6" ht="19" thickTop="1" thickBot="1">
      <c r="B2" s="780" t="s">
        <v>749</v>
      </c>
      <c r="C2" s="242"/>
      <c r="D2" s="243"/>
      <c r="E2" s="530" t="s">
        <v>1299</v>
      </c>
      <c r="F2" s="244" t="s">
        <v>1107</v>
      </c>
    </row>
    <row r="3" spans="1:6" ht="14" thickBot="1">
      <c r="B3" s="1418" t="str">
        <f>+'Reserve Needs'!B4:D4</f>
        <v xml:space="preserve">   Site Utilities</v>
      </c>
      <c r="C3" s="1419"/>
      <c r="D3" s="1420"/>
      <c r="E3" s="626">
        <v>1.5</v>
      </c>
      <c r="F3" s="331">
        <v>0</v>
      </c>
    </row>
    <row r="4" spans="1:6" ht="14" thickBot="1">
      <c r="B4" s="1418" t="str">
        <f>+'Reserve Needs'!B5:D5</f>
        <v xml:space="preserve">   Site Improvements</v>
      </c>
      <c r="C4" s="1419"/>
      <c r="D4" s="1420"/>
      <c r="E4" s="694">
        <v>2</v>
      </c>
      <c r="F4" s="331">
        <v>0</v>
      </c>
    </row>
    <row r="5" spans="1:6" ht="14" thickBot="1">
      <c r="B5" s="1418" t="str">
        <f>+'Reserve Needs'!B6:D6</f>
        <v xml:space="preserve">   Topography</v>
      </c>
      <c r="C5" s="1419"/>
      <c r="D5" s="1420"/>
      <c r="E5" s="626">
        <v>2.1</v>
      </c>
      <c r="F5" s="331">
        <v>0</v>
      </c>
    </row>
    <row r="6" spans="1:6" ht="14" thickBot="1">
      <c r="B6" s="1418" t="str">
        <f>+'Reserve Needs'!B7:D7</f>
        <v xml:space="preserve">   Drainage</v>
      </c>
      <c r="C6" s="1419"/>
      <c r="D6" s="1420"/>
      <c r="E6" s="626">
        <v>2.2000000000000002</v>
      </c>
      <c r="F6" s="331">
        <v>0</v>
      </c>
    </row>
    <row r="7" spans="1:6" ht="14" thickBot="1">
      <c r="B7" s="1418" t="str">
        <f>+'Reserve Needs'!B8:D8</f>
        <v xml:space="preserve">   Parking Lot- asphalt</v>
      </c>
      <c r="C7" s="1419"/>
      <c r="D7" s="1420"/>
      <c r="E7" s="626">
        <v>2.2999999999999998</v>
      </c>
      <c r="F7" s="331">
        <v>0</v>
      </c>
    </row>
    <row r="8" spans="1:6" ht="14" thickBot="1">
      <c r="B8" s="1418" t="str">
        <f>+'Reserve Needs'!B9:D9</f>
        <v xml:space="preserve">   Parking Lot- stripe</v>
      </c>
      <c r="C8" s="1419"/>
      <c r="D8" s="1420"/>
      <c r="E8" s="626">
        <v>2.2999999999999998</v>
      </c>
      <c r="F8" s="331">
        <v>0</v>
      </c>
    </row>
    <row r="9" spans="1:6" ht="14" thickBot="1">
      <c r="B9" s="1418" t="str">
        <f>+'Reserve Needs'!B10:D10</f>
        <v xml:space="preserve">   Parking Lot- concrete</v>
      </c>
      <c r="C9" s="1419"/>
      <c r="D9" s="1420"/>
      <c r="E9" s="626">
        <v>2.2999999999999998</v>
      </c>
      <c r="F9" s="331">
        <v>0</v>
      </c>
    </row>
    <row r="10" spans="1:6" ht="14" thickBot="1">
      <c r="B10" s="1418" t="str">
        <f>+'Reserve Needs'!B11:D11</f>
        <v xml:space="preserve">   Flatwork</v>
      </c>
      <c r="C10" s="1419"/>
      <c r="D10" s="1420"/>
      <c r="E10" s="626">
        <v>2.4</v>
      </c>
      <c r="F10" s="331">
        <v>0</v>
      </c>
    </row>
    <row r="11" spans="1:6" ht="14" thickBot="1">
      <c r="B11" s="1418" t="str">
        <f>+'Reserve Needs'!B12:D12</f>
        <v xml:space="preserve">   Dumpster Pads</v>
      </c>
      <c r="C11" s="1419"/>
      <c r="D11" s="1420"/>
      <c r="E11" s="626">
        <v>2.5</v>
      </c>
      <c r="F11" s="331">
        <v>0</v>
      </c>
    </row>
    <row r="12" spans="1:6" ht="14" thickBot="1">
      <c r="B12" s="1418" t="str">
        <f>+'Reserve Needs'!B13:D13</f>
        <v xml:space="preserve">   Landscaping</v>
      </c>
      <c r="C12" s="1419"/>
      <c r="D12" s="1420"/>
      <c r="E12" s="626">
        <v>2.6</v>
      </c>
      <c r="F12" s="331">
        <v>0</v>
      </c>
    </row>
    <row r="13" spans="1:6" ht="14" thickBot="1">
      <c r="B13" s="1418" t="str">
        <f>+'Reserve Needs'!B14:D14</f>
        <v xml:space="preserve">   Lighting, porch lights</v>
      </c>
      <c r="C13" s="1419"/>
      <c r="D13" s="1420"/>
      <c r="E13" s="626">
        <v>2.7</v>
      </c>
      <c r="F13" s="331">
        <v>0</v>
      </c>
    </row>
    <row r="14" spans="1:6" ht="14" thickBot="1">
      <c r="B14" s="1418" t="str">
        <f>+'Reserve Needs'!B15:D15</f>
        <v xml:space="preserve">   Lighting, building mounted</v>
      </c>
      <c r="C14" s="1419"/>
      <c r="D14" s="1420"/>
      <c r="E14" s="626">
        <v>2.7</v>
      </c>
      <c r="F14" s="331">
        <v>0</v>
      </c>
    </row>
    <row r="15" spans="1:6" ht="14" thickBot="1">
      <c r="B15" s="1418" t="str">
        <f>+'Reserve Needs'!B16:D16</f>
        <v xml:space="preserve">   Signage</v>
      </c>
      <c r="C15" s="1419"/>
      <c r="D15" s="1420"/>
      <c r="E15" s="626">
        <v>2.8</v>
      </c>
      <c r="F15" s="331">
        <v>0</v>
      </c>
    </row>
    <row r="16" spans="1:6" ht="14" thickBot="1">
      <c r="B16" s="1418" t="str">
        <f>+'Reserve Needs'!B17:D17</f>
        <v xml:space="preserve">   Parking Garage</v>
      </c>
      <c r="C16" s="1419"/>
      <c r="D16" s="1420"/>
      <c r="E16" s="626">
        <v>2.9</v>
      </c>
      <c r="F16" s="331">
        <v>0</v>
      </c>
    </row>
    <row r="17" spans="2:6" ht="14" thickBot="1">
      <c r="B17" s="1418" t="str">
        <f>+'Reserve Needs'!B18:D18</f>
        <v xml:space="preserve">   Amenities, playground</v>
      </c>
      <c r="C17" s="1419"/>
      <c r="D17" s="1420"/>
      <c r="E17" s="627">
        <v>2.1</v>
      </c>
      <c r="F17" s="331">
        <v>0</v>
      </c>
    </row>
    <row r="18" spans="2:6" ht="14" thickBot="1">
      <c r="B18" s="1418" t="str">
        <f>+'Reserve Needs'!B19:D19</f>
        <v xml:space="preserve">   Amenities, pool deck</v>
      </c>
      <c r="C18" s="1419"/>
      <c r="D18" s="1420"/>
      <c r="E18" s="627">
        <v>2.1</v>
      </c>
      <c r="F18" s="331">
        <v>0</v>
      </c>
    </row>
    <row r="19" spans="2:6" ht="14" thickBot="1">
      <c r="B19" s="1418" t="str">
        <f>+'Reserve Needs'!B20:D20</f>
        <v xml:space="preserve">   Amenities, pool equipment</v>
      </c>
      <c r="C19" s="1419"/>
      <c r="D19" s="1420"/>
      <c r="E19" s="627">
        <v>2.1</v>
      </c>
      <c r="F19" s="331">
        <v>0</v>
      </c>
    </row>
    <row r="20" spans="2:6" ht="14" thickBot="1">
      <c r="B20" s="1418" t="str">
        <f>+'Reserve Needs'!B21:D21</f>
        <v xml:space="preserve">   Amenities, pool plaster</v>
      </c>
      <c r="C20" s="1419"/>
      <c r="D20" s="1420"/>
      <c r="E20" s="627">
        <v>2.1</v>
      </c>
      <c r="F20" s="331">
        <v>0</v>
      </c>
    </row>
    <row r="21" spans="2:6" ht="14" thickBot="1">
      <c r="B21" s="1418" t="str">
        <f>+'Reserve Needs'!B22:D22</f>
        <v xml:space="preserve">   Amenities, basketball court</v>
      </c>
      <c r="C21" s="1419"/>
      <c r="D21" s="1420"/>
      <c r="E21" s="627">
        <v>2.1</v>
      </c>
      <c r="F21" s="331">
        <v>0</v>
      </c>
    </row>
    <row r="22" spans="2:6" ht="14" thickBot="1">
      <c r="B22" s="1418" t="str">
        <f>+'Reserve Needs'!B23:D23</f>
        <v xml:space="preserve">   Amenities, tennis courts</v>
      </c>
      <c r="C22" s="1419"/>
      <c r="D22" s="1420"/>
      <c r="E22" s="627">
        <v>2.1</v>
      </c>
      <c r="F22" s="331">
        <v>0</v>
      </c>
    </row>
    <row r="23" spans="2:6" ht="14" thickBot="1">
      <c r="B23" s="1418" t="str">
        <f>+'Reserve Needs'!B24:D24</f>
        <v xml:space="preserve">   Fences, chain link w/gates</v>
      </c>
      <c r="C23" s="1419"/>
      <c r="D23" s="1420"/>
      <c r="E23" s="627">
        <v>2.11</v>
      </c>
      <c r="F23" s="331">
        <v>0</v>
      </c>
    </row>
    <row r="24" spans="2:6" ht="14" thickBot="1">
      <c r="B24" s="1418" t="str">
        <f>+'Reserve Needs'!B25:D25</f>
        <v xml:space="preserve">   Fences, wrought iron</v>
      </c>
      <c r="C24" s="1419"/>
      <c r="D24" s="1420"/>
      <c r="E24" s="627">
        <v>2.11</v>
      </c>
      <c r="F24" s="331">
        <v>0</v>
      </c>
    </row>
    <row r="25" spans="2:6" ht="14" thickBot="1">
      <c r="B25" s="1418" t="str">
        <f>+'Reserve Needs'!B26:D26</f>
        <v xml:space="preserve">   Fences, post and rail</v>
      </c>
      <c r="C25" s="1419"/>
      <c r="D25" s="1420"/>
      <c r="E25" s="627">
        <v>2.11</v>
      </c>
      <c r="F25" s="331">
        <v>0</v>
      </c>
    </row>
    <row r="26" spans="2:6" ht="14" thickBot="1">
      <c r="B26" s="1418" t="str">
        <f>+'Reserve Needs'!B27:D27</f>
        <v xml:space="preserve">   Fences, stockade and weave</v>
      </c>
      <c r="C26" s="1419"/>
      <c r="D26" s="1420"/>
      <c r="E26" s="627">
        <v>2.11</v>
      </c>
      <c r="F26" s="333">
        <v>0</v>
      </c>
    </row>
    <row r="27" spans="2:6" ht="14" thickBot="1">
      <c r="B27" s="1418" t="str">
        <f>+'Reserve Needs'!B28:D28</f>
        <v xml:space="preserve">   Carports</v>
      </c>
      <c r="C27" s="1419"/>
      <c r="D27" s="1420"/>
      <c r="E27" s="627">
        <v>2.12</v>
      </c>
      <c r="F27" s="331">
        <v>0</v>
      </c>
    </row>
    <row r="28" spans="2:6" ht="14" thickBot="1">
      <c r="B28" s="1418" t="str">
        <f>+'Reserve Needs'!B29:D29</f>
        <v xml:space="preserve">   Mail facilities</v>
      </c>
      <c r="C28" s="1419"/>
      <c r="D28" s="1420"/>
      <c r="E28" s="627">
        <v>2.13</v>
      </c>
      <c r="F28" s="331">
        <v>0</v>
      </c>
    </row>
    <row r="29" spans="2:6" ht="14" thickBot="1">
      <c r="B29" s="1418" t="str">
        <f>+'Reserve Needs'!B30:D30</f>
        <v xml:space="preserve">   Exterior</v>
      </c>
      <c r="C29" s="1419"/>
      <c r="D29" s="1420"/>
      <c r="E29" s="694">
        <v>3</v>
      </c>
      <c r="F29" s="331">
        <v>0</v>
      </c>
    </row>
    <row r="30" spans="2:6" ht="14" thickBot="1">
      <c r="B30" s="1418" t="str">
        <f>+'Reserve Needs'!B31:D31</f>
        <v xml:space="preserve">   Walls, aluminum siding</v>
      </c>
      <c r="C30" s="1419"/>
      <c r="D30" s="1420"/>
      <c r="E30" s="626">
        <v>3.1</v>
      </c>
      <c r="F30" s="331">
        <v>0</v>
      </c>
    </row>
    <row r="31" spans="2:6" ht="14" thickBot="1">
      <c r="B31" s="1418" t="str">
        <f>+'Reserve Needs'!B32:D32</f>
        <v xml:space="preserve">   Walls, brick/block</v>
      </c>
      <c r="C31" s="1419"/>
      <c r="D31" s="1420"/>
      <c r="E31" s="626">
        <v>3.1</v>
      </c>
      <c r="F31" s="331">
        <v>0</v>
      </c>
    </row>
    <row r="32" spans="2:6" ht="14" thickBot="1">
      <c r="B32" s="1418" t="str">
        <f>+'Reserve Needs'!B33:D33</f>
        <v xml:space="preserve">   Walls, stone veneer</v>
      </c>
      <c r="C32" s="1419"/>
      <c r="D32" s="1420"/>
      <c r="E32" s="626">
        <v>3.1</v>
      </c>
      <c r="F32" s="331">
        <v>0</v>
      </c>
    </row>
    <row r="33" spans="2:6" ht="14" thickBot="1">
      <c r="B33" s="1418" t="str">
        <f>+'Reserve Needs'!B34:D34</f>
        <v xml:space="preserve">   Walls, glass block</v>
      </c>
      <c r="C33" s="1419"/>
      <c r="D33" s="1420"/>
      <c r="E33" s="626">
        <v>3.1</v>
      </c>
      <c r="F33" s="331">
        <v>0</v>
      </c>
    </row>
    <row r="34" spans="2:6" ht="14" thickBot="1">
      <c r="B34" s="1418" t="str">
        <f>+'Reserve Needs'!B35:D35</f>
        <v xml:space="preserve">   Walls, granite block</v>
      </c>
      <c r="C34" s="1419"/>
      <c r="D34" s="1420"/>
      <c r="E34" s="626">
        <v>3.1</v>
      </c>
      <c r="F34" s="331">
        <v>0</v>
      </c>
    </row>
    <row r="35" spans="2:6" ht="14" thickBot="1">
      <c r="B35" s="1418" t="str">
        <f>+'Reserve Needs'!B36:D36</f>
        <v xml:space="preserve">   Walls, pre-cast concrete </v>
      </c>
      <c r="C35" s="1419"/>
      <c r="D35" s="1420"/>
      <c r="E35" s="626">
        <v>3.1</v>
      </c>
      <c r="F35" s="331">
        <v>0</v>
      </c>
    </row>
    <row r="36" spans="2:6" ht="14" thickBot="1">
      <c r="B36" s="1418" t="str">
        <f>+'Reserve Needs'!B37:D37</f>
        <v xml:space="preserve">   Walls, vinyl</v>
      </c>
      <c r="C36" s="1419"/>
      <c r="D36" s="1420"/>
      <c r="E36" s="626">
        <v>3.1</v>
      </c>
      <c r="F36" s="331">
        <v>0</v>
      </c>
    </row>
    <row r="37" spans="2:6" ht="14" thickBot="1">
      <c r="B37" s="1418" t="str">
        <f>+'Reserve Needs'!B38:D38</f>
        <v xml:space="preserve">   Walls, plywood (T1-11)</v>
      </c>
      <c r="C37" s="1419"/>
      <c r="D37" s="1420"/>
      <c r="E37" s="626">
        <v>3.1</v>
      </c>
      <c r="F37" s="331">
        <v>0</v>
      </c>
    </row>
    <row r="38" spans="2:6" ht="14" thickBot="1">
      <c r="B38" s="1418" t="str">
        <f>+'Reserve Needs'!B39:D39</f>
        <v xml:space="preserve">   Walls, stucco</v>
      </c>
      <c r="C38" s="1419"/>
      <c r="D38" s="1420"/>
      <c r="E38" s="626">
        <v>3.1</v>
      </c>
      <c r="F38" s="331">
        <v>0</v>
      </c>
    </row>
    <row r="39" spans="2:6" ht="14" thickBot="1">
      <c r="B39" s="1418" t="str">
        <f>+'Reserve Needs'!B40:D40</f>
        <v xml:space="preserve">   Windows, frames &amp; glazing</v>
      </c>
      <c r="C39" s="1419"/>
      <c r="D39" s="1420"/>
      <c r="E39" s="626">
        <v>3.2</v>
      </c>
      <c r="F39" s="331">
        <v>0</v>
      </c>
    </row>
    <row r="40" spans="2:6" ht="14" thickBot="1">
      <c r="B40" s="1418" t="str">
        <f>+'Reserve Needs'!B41:D41</f>
        <v xml:space="preserve">   Doors, solid core</v>
      </c>
      <c r="C40" s="1419"/>
      <c r="D40" s="1420"/>
      <c r="E40" s="626">
        <v>3.3</v>
      </c>
      <c r="F40" s="331">
        <v>0</v>
      </c>
    </row>
    <row r="41" spans="2:6" ht="14" thickBot="1">
      <c r="B41" s="1418" t="str">
        <f>+'Reserve Needs'!B42:D42</f>
        <v xml:space="preserve">   Doors, sliding doors</v>
      </c>
      <c r="C41" s="1419"/>
      <c r="D41" s="1420"/>
      <c r="E41" s="626">
        <v>3.3</v>
      </c>
      <c r="F41" s="331">
        <v>0</v>
      </c>
    </row>
    <row r="42" spans="2:6" ht="14" thickBot="1">
      <c r="B42" s="1418" t="str">
        <f>+'Reserve Needs'!B43:D43</f>
        <v xml:space="preserve">   Doors, screen doors</v>
      </c>
      <c r="C42" s="1419"/>
      <c r="D42" s="1420"/>
      <c r="E42" s="626">
        <v>3.3</v>
      </c>
      <c r="F42" s="331">
        <v>0</v>
      </c>
    </row>
    <row r="43" spans="2:6" ht="14" thickBot="1">
      <c r="B43" s="1418" t="str">
        <f>+'Reserve Needs'!B44:D44</f>
        <v xml:space="preserve">   Exterior Stairs, wood</v>
      </c>
      <c r="C43" s="1419"/>
      <c r="D43" s="1420"/>
      <c r="E43" s="626">
        <v>3.4</v>
      </c>
      <c r="F43" s="331">
        <v>0</v>
      </c>
    </row>
    <row r="44" spans="2:6" ht="14" thickBot="1">
      <c r="B44" s="1418" t="str">
        <f>+'Reserve Needs'!B45:D45</f>
        <v xml:space="preserve">   Exterior Stairs, filled metal pans </v>
      </c>
      <c r="C44" s="1419"/>
      <c r="D44" s="1420"/>
      <c r="E44" s="626">
        <v>3.4</v>
      </c>
      <c r="F44" s="331">
        <v>0</v>
      </c>
    </row>
    <row r="45" spans="2:6" ht="14" thickBot="1">
      <c r="B45" s="1418" t="str">
        <f>+'Reserve Needs'!B46:D46</f>
        <v xml:space="preserve">   Exterior Stairs, concrete</v>
      </c>
      <c r="C45" s="1419"/>
      <c r="D45" s="1420"/>
      <c r="E45" s="626">
        <v>3.4</v>
      </c>
      <c r="F45" s="331">
        <v>0</v>
      </c>
    </row>
    <row r="46" spans="2:6" ht="14" thickBot="1">
      <c r="B46" s="1418" t="str">
        <f>+'Reserve Needs'!B47:D47</f>
        <v xml:space="preserve">   Balconies / Landings</v>
      </c>
      <c r="C46" s="1419"/>
      <c r="D46" s="1420"/>
      <c r="E46" s="626">
        <v>3.5</v>
      </c>
      <c r="F46" s="331">
        <v>0</v>
      </c>
    </row>
    <row r="47" spans="2:6" ht="14" thickBot="1">
      <c r="B47" s="1418" t="str">
        <f>+'Reserve Needs'!B48:D48</f>
        <v xml:space="preserve">   Interior</v>
      </c>
      <c r="C47" s="1419"/>
      <c r="D47" s="1420"/>
      <c r="E47" s="694">
        <v>4</v>
      </c>
      <c r="F47" s="331">
        <v>0</v>
      </c>
    </row>
    <row r="48" spans="2:6" ht="14" thickBot="1">
      <c r="B48" s="1418" t="str">
        <f>+'Reserve Needs'!B49:D49</f>
        <v xml:space="preserve">   Walls and ceilings, common areas</v>
      </c>
      <c r="C48" s="1419"/>
      <c r="D48" s="1420"/>
      <c r="E48" s="626">
        <v>4.0999999999999996</v>
      </c>
      <c r="F48" s="331">
        <v>0</v>
      </c>
    </row>
    <row r="49" spans="2:6" ht="14" thickBot="1">
      <c r="B49" s="1418" t="str">
        <f>+'Reserve Needs'!B50:D50</f>
        <v xml:space="preserve">   Walls and ceilings, units</v>
      </c>
      <c r="C49" s="1419"/>
      <c r="D49" s="1420"/>
      <c r="E49" s="626">
        <v>4.2</v>
      </c>
      <c r="F49" s="331">
        <v>0</v>
      </c>
    </row>
    <row r="50" spans="2:6" ht="14" thickBot="1">
      <c r="B50" s="1418" t="str">
        <f>+'Reserve Needs'!B51:D51</f>
        <v xml:space="preserve">   Flooring, carpet common areas</v>
      </c>
      <c r="C50" s="1419"/>
      <c r="D50" s="1420"/>
      <c r="E50" s="626">
        <v>4.3</v>
      </c>
      <c r="F50" s="331">
        <v>0</v>
      </c>
    </row>
    <row r="51" spans="2:6" ht="14" thickBot="1">
      <c r="B51" s="1418" t="str">
        <f>+'Reserve Needs'!B52:D52</f>
        <v xml:space="preserve">   Flooring, carpet units</v>
      </c>
      <c r="C51" s="1419"/>
      <c r="D51" s="1420"/>
      <c r="E51" s="626">
        <v>4.3</v>
      </c>
      <c r="F51" s="331">
        <v>0</v>
      </c>
    </row>
    <row r="52" spans="2:6" ht="14" thickBot="1">
      <c r="B52" s="1418" t="str">
        <f>+'Reserve Needs'!B53:D53</f>
        <v xml:space="preserve">   Flooring, tile common areas</v>
      </c>
      <c r="C52" s="1419"/>
      <c r="D52" s="1420"/>
      <c r="E52" s="626">
        <v>4.3</v>
      </c>
      <c r="F52" s="331">
        <v>0</v>
      </c>
    </row>
    <row r="53" spans="2:6" ht="14" thickBot="1">
      <c r="B53" s="1418" t="str">
        <f>+'Reserve Needs'!B54:D54</f>
        <v xml:space="preserve">   Flooring, tile units</v>
      </c>
      <c r="C53" s="1419"/>
      <c r="D53" s="1420"/>
      <c r="E53" s="626">
        <v>4.3</v>
      </c>
      <c r="F53" s="331">
        <v>0</v>
      </c>
    </row>
    <row r="54" spans="2:6" ht="14" thickBot="1">
      <c r="B54" s="1418" t="str">
        <f>+'Reserve Needs'!B55:D55</f>
        <v xml:space="preserve">   Cabinets</v>
      </c>
      <c r="C54" s="1419"/>
      <c r="D54" s="1420"/>
      <c r="E54" s="626">
        <v>4.4000000000000004</v>
      </c>
      <c r="F54" s="331">
        <v>0</v>
      </c>
    </row>
    <row r="55" spans="2:6" ht="14" thickBot="1">
      <c r="B55" s="1418" t="str">
        <f>+'Reserve Needs'!B56:D56</f>
        <v xml:space="preserve">   Countertops and Sinks</v>
      </c>
      <c r="C55" s="1419"/>
      <c r="D55" s="1420"/>
      <c r="E55" s="626">
        <v>4.5</v>
      </c>
      <c r="F55" s="331">
        <v>0</v>
      </c>
    </row>
    <row r="56" spans="2:6" ht="14" thickBot="1">
      <c r="B56" s="1418" t="str">
        <f>+'Reserve Needs'!B57:D57</f>
        <v xml:space="preserve">   Refrigerators</v>
      </c>
      <c r="C56" s="1419"/>
      <c r="D56" s="1420"/>
      <c r="E56" s="626">
        <v>4.5999999999999996</v>
      </c>
      <c r="F56" s="331">
        <v>0</v>
      </c>
    </row>
    <row r="57" spans="2:6" ht="14" thickBot="1">
      <c r="B57" s="1418" t="str">
        <f>+'Reserve Needs'!B58:D58</f>
        <v xml:space="preserve">   Ranges &amp; vent hoods</v>
      </c>
      <c r="C57" s="1419"/>
      <c r="D57" s="1420"/>
      <c r="E57" s="626">
        <v>4.7</v>
      </c>
      <c r="F57" s="331">
        <v>0</v>
      </c>
    </row>
    <row r="58" spans="2:6" ht="14" thickBot="1">
      <c r="B58" s="1418" t="str">
        <f>+'Reserve Needs'!B59:D59</f>
        <v xml:space="preserve">   Interior Closet Doors</v>
      </c>
      <c r="C58" s="1419"/>
      <c r="D58" s="1420"/>
      <c r="E58" s="626">
        <v>4.8</v>
      </c>
      <c r="F58" s="331">
        <v>0</v>
      </c>
    </row>
    <row r="59" spans="2:6" ht="14" thickBot="1">
      <c r="B59" s="1418" t="str">
        <f>+'Reserve Needs'!B60:D60</f>
        <v xml:space="preserve">   Interior Doors</v>
      </c>
      <c r="C59" s="1419"/>
      <c r="D59" s="1420"/>
      <c r="E59" s="626">
        <v>4.8</v>
      </c>
      <c r="F59" s="331">
        <v>0</v>
      </c>
    </row>
    <row r="60" spans="2:6" ht="14" thickBot="1">
      <c r="B60" s="1418" t="str">
        <f>+'Reserve Needs'!B61:D61</f>
        <v xml:space="preserve">   Interior Stairs</v>
      </c>
      <c r="C60" s="1419"/>
      <c r="D60" s="1420"/>
      <c r="E60" s="626">
        <v>4.9000000000000004</v>
      </c>
      <c r="F60" s="331">
        <v>0</v>
      </c>
    </row>
    <row r="61" spans="2:6" ht="14" thickBot="1">
      <c r="B61" s="1418" t="str">
        <f>+'Reserve Needs'!B62:D62</f>
        <v xml:space="preserve">   Structure</v>
      </c>
      <c r="C61" s="1419"/>
      <c r="D61" s="1420"/>
      <c r="E61" s="694">
        <v>5</v>
      </c>
      <c r="F61" s="331">
        <v>0</v>
      </c>
    </row>
    <row r="62" spans="2:6" ht="14" thickBot="1">
      <c r="B62" s="1418" t="str">
        <f>+'Reserve Needs'!B63:D63</f>
        <v xml:space="preserve">   Foundation</v>
      </c>
      <c r="C62" s="1419"/>
      <c r="D62" s="1420"/>
      <c r="E62" s="626">
        <v>5.0999999999999996</v>
      </c>
      <c r="F62" s="331">
        <v>0</v>
      </c>
    </row>
    <row r="63" spans="2:6" ht="14" thickBot="1">
      <c r="B63" s="1418" t="str">
        <f>+'Reserve Needs'!B64:D64</f>
        <v xml:space="preserve">   Framing</v>
      </c>
      <c r="C63" s="1419"/>
      <c r="D63" s="1420"/>
      <c r="E63" s="626">
        <v>5.2</v>
      </c>
      <c r="F63" s="331">
        <v>0</v>
      </c>
    </row>
    <row r="64" spans="2:6" ht="14" thickBot="1">
      <c r="B64" s="1418" t="str">
        <f>+'Reserve Needs'!B65:D65</f>
        <v xml:space="preserve">   HVAC</v>
      </c>
      <c r="C64" s="1419"/>
      <c r="D64" s="1420"/>
      <c r="E64" s="694">
        <v>6</v>
      </c>
      <c r="F64" s="331">
        <v>0</v>
      </c>
    </row>
    <row r="65" spans="2:6" ht="14" thickBot="1">
      <c r="B65" s="1418" t="str">
        <f>+'Reserve Needs'!B66:D66</f>
        <v xml:space="preserve">   Heat Pumps</v>
      </c>
      <c r="C65" s="1419"/>
      <c r="D65" s="1420"/>
      <c r="E65" s="626">
        <v>6.1</v>
      </c>
      <c r="F65" s="331">
        <v>0</v>
      </c>
    </row>
    <row r="66" spans="2:6" ht="14" thickBot="1">
      <c r="B66" s="1418" t="str">
        <f>+'Reserve Needs'!B67:D67</f>
        <v xml:space="preserve">   Window units</v>
      </c>
      <c r="C66" s="1419"/>
      <c r="D66" s="1420"/>
      <c r="E66" s="626">
        <v>6.1</v>
      </c>
      <c r="F66" s="331">
        <v>0</v>
      </c>
    </row>
    <row r="67" spans="2:6" ht="14" thickBot="1">
      <c r="B67" s="1418" t="str">
        <f>+'Reserve Needs'!B68:D68</f>
        <v xml:space="preserve">   Heating Eqpt., Electric</v>
      </c>
      <c r="C67" s="1419"/>
      <c r="D67" s="1420"/>
      <c r="E67" s="626">
        <v>6.1</v>
      </c>
      <c r="F67" s="331">
        <v>0</v>
      </c>
    </row>
    <row r="68" spans="2:6" ht="14" thickBot="1">
      <c r="B68" s="1418" t="str">
        <f>+'Reserve Needs'!B69:D69</f>
        <v xml:space="preserve">   Heating Eqpt., Gas</v>
      </c>
      <c r="C68" s="1419"/>
      <c r="D68" s="1420"/>
      <c r="E68" s="626">
        <v>6.1</v>
      </c>
      <c r="F68" s="331">
        <v>0</v>
      </c>
    </row>
    <row r="69" spans="2:6" ht="14" thickBot="1">
      <c r="B69" s="1418" t="str">
        <f>+'Reserve Needs'!B70:D70</f>
        <v xml:space="preserve">   Cooling Equipment</v>
      </c>
      <c r="C69" s="1419"/>
      <c r="D69" s="1420"/>
      <c r="E69" s="626">
        <v>6.2</v>
      </c>
      <c r="F69" s="331">
        <v>0</v>
      </c>
    </row>
    <row r="70" spans="2:6" ht="14" thickBot="1">
      <c r="B70" s="1418" t="str">
        <f>+'Reserve Needs'!B71:D71</f>
        <v xml:space="preserve">   Electrical System</v>
      </c>
      <c r="C70" s="1419"/>
      <c r="D70" s="1420"/>
      <c r="E70" s="694">
        <v>7</v>
      </c>
      <c r="F70" s="331">
        <v>0</v>
      </c>
    </row>
    <row r="71" spans="2:6" ht="14" thickBot="1">
      <c r="B71" s="1418" t="str">
        <f>+'Reserve Needs'!B72:D72</f>
        <v xml:space="preserve">   Service</v>
      </c>
      <c r="C71" s="1419"/>
      <c r="D71" s="1420"/>
      <c r="E71" s="626">
        <v>7.1</v>
      </c>
      <c r="F71" s="331">
        <v>0</v>
      </c>
    </row>
    <row r="72" spans="2:6" ht="14" thickBot="1">
      <c r="B72" s="1418" t="str">
        <f>+'Reserve Needs'!B73:D73</f>
        <v xml:space="preserve">   Devices</v>
      </c>
      <c r="C72" s="1419"/>
      <c r="D72" s="1420"/>
      <c r="E72" s="626">
        <v>7.2</v>
      </c>
      <c r="F72" s="331">
        <v>0</v>
      </c>
    </row>
    <row r="73" spans="2:6" ht="14" thickBot="1">
      <c r="B73" s="1418" t="str">
        <f>+'Reserve Needs'!B74:D74</f>
        <v xml:space="preserve">   Plumbing Systems</v>
      </c>
      <c r="C73" s="1419"/>
      <c r="D73" s="1420"/>
      <c r="E73" s="694">
        <v>8</v>
      </c>
      <c r="F73" s="331">
        <v>0</v>
      </c>
    </row>
    <row r="74" spans="2:6" ht="14" thickBot="1">
      <c r="B74" s="1418" t="str">
        <f>+'Reserve Needs'!B75:D75</f>
        <v xml:space="preserve">   Supply/Waste Lines</v>
      </c>
      <c r="C74" s="1419"/>
      <c r="D74" s="1420"/>
      <c r="E74" s="626">
        <v>8.1</v>
      </c>
      <c r="F74" s="331">
        <v>0</v>
      </c>
    </row>
    <row r="75" spans="2:6" ht="14" thickBot="1">
      <c r="B75" s="1418" t="str">
        <f>+'Reserve Needs'!B76:D76</f>
        <v xml:space="preserve">   Water Heaters</v>
      </c>
      <c r="C75" s="1419"/>
      <c r="D75" s="1420"/>
      <c r="E75" s="626">
        <v>8.1999999999999993</v>
      </c>
      <c r="F75" s="331">
        <v>0</v>
      </c>
    </row>
    <row r="76" spans="2:6" ht="14" thickBot="1">
      <c r="B76" s="1418" t="str">
        <f>+'Reserve Needs'!B77:D77</f>
        <v xml:space="preserve">   Boiler, gas fired</v>
      </c>
      <c r="C76" s="1419"/>
      <c r="D76" s="1420"/>
      <c r="E76" s="626">
        <v>8.1999999999999993</v>
      </c>
      <c r="F76" s="331">
        <v>0</v>
      </c>
    </row>
    <row r="77" spans="2:6" ht="14" thickBot="1">
      <c r="B77" s="1418" t="str">
        <f>+'Reserve Needs'!B78:D78</f>
        <v xml:space="preserve">   Boiler, room valves</v>
      </c>
      <c r="C77" s="1419"/>
      <c r="D77" s="1420"/>
      <c r="E77" s="626" t="s">
        <v>20</v>
      </c>
      <c r="F77" s="331">
        <v>0</v>
      </c>
    </row>
    <row r="78" spans="2:6" ht="14" thickBot="1">
      <c r="B78" s="1418" t="str">
        <f>+'Reserve Needs'!B79:D79</f>
        <v xml:space="preserve">   Washers/Dryers</v>
      </c>
      <c r="C78" s="1419"/>
      <c r="D78" s="1420"/>
      <c r="E78" s="626">
        <v>8.3000000000000007</v>
      </c>
      <c r="F78" s="331">
        <v>0</v>
      </c>
    </row>
    <row r="79" spans="2:6" ht="14" thickBot="1">
      <c r="B79" s="1418" t="str">
        <f>+'Reserve Needs'!B80:D80</f>
        <v xml:space="preserve">   Toilets</v>
      </c>
      <c r="C79" s="1419"/>
      <c r="D79" s="1420"/>
      <c r="E79" s="626" t="s">
        <v>21</v>
      </c>
      <c r="F79" s="331">
        <v>0</v>
      </c>
    </row>
    <row r="80" spans="2:6" ht="14" thickBot="1">
      <c r="B80" s="1418" t="str">
        <f>+'Reserve Needs'!B81:D81</f>
        <v xml:space="preserve">   Vanities w/sinks</v>
      </c>
      <c r="C80" s="1419"/>
      <c r="D80" s="1420"/>
      <c r="E80" s="626" t="s">
        <v>22</v>
      </c>
      <c r="F80" s="331">
        <v>0</v>
      </c>
    </row>
    <row r="81" spans="2:6" ht="14" thickBot="1">
      <c r="B81" s="1418" t="str">
        <f>+'Reserve Needs'!B82:D82</f>
        <v xml:space="preserve">   Wall-mounted sinks</v>
      </c>
      <c r="C81" s="1419"/>
      <c r="D81" s="1420"/>
      <c r="E81" s="626" t="s">
        <v>22</v>
      </c>
      <c r="F81" s="331">
        <v>0</v>
      </c>
    </row>
    <row r="82" spans="2:6" ht="14" thickBot="1">
      <c r="B82" s="1418" t="str">
        <f>+'Reserve Needs'!B83:D83</f>
        <v xml:space="preserve">   Tubs w/ shower walls</v>
      </c>
      <c r="C82" s="1419"/>
      <c r="D82" s="1420"/>
      <c r="E82" s="626" t="s">
        <v>23</v>
      </c>
      <c r="F82" s="331">
        <v>0</v>
      </c>
    </row>
    <row r="83" spans="2:6" ht="14" thickBot="1">
      <c r="B83" s="1418" t="str">
        <f>+'Reserve Needs'!B84:D84</f>
        <v xml:space="preserve">   Disposals</v>
      </c>
      <c r="C83" s="1419"/>
      <c r="D83" s="1420"/>
      <c r="E83" s="626">
        <v>8.5</v>
      </c>
      <c r="F83" s="331">
        <v>0</v>
      </c>
    </row>
    <row r="84" spans="2:6" ht="14" thickBot="1">
      <c r="B84" s="1418" t="str">
        <f>+'Reserve Needs'!B85:D85</f>
        <v xml:space="preserve">   Roofs</v>
      </c>
      <c r="C84" s="1419"/>
      <c r="D84" s="1420"/>
      <c r="E84" s="626">
        <v>9</v>
      </c>
      <c r="F84" s="331">
        <v>0</v>
      </c>
    </row>
    <row r="85" spans="2:6" ht="14" thickBot="1">
      <c r="B85" s="1418" t="str">
        <f>+'Reserve Needs'!B86:D86</f>
        <v xml:space="preserve">   Roofs,  shingles w/gutters &amp; downspouts</v>
      </c>
      <c r="C85" s="1419"/>
      <c r="D85" s="1420"/>
      <c r="E85" s="626">
        <v>9.1</v>
      </c>
      <c r="F85" s="331">
        <v>0</v>
      </c>
    </row>
    <row r="86" spans="2:6" ht="14" thickBot="1">
      <c r="B86" s="1418" t="str">
        <f>+'Reserve Needs'!B87:D87</f>
        <v xml:space="preserve">   Roofs, built-up</v>
      </c>
      <c r="C86" s="1419"/>
      <c r="D86" s="1420"/>
      <c r="E86" s="626">
        <v>9.1</v>
      </c>
      <c r="F86" s="331">
        <v>0</v>
      </c>
    </row>
    <row r="87" spans="2:6" ht="14" thickBot="1">
      <c r="B87" s="1418" t="str">
        <f>+'Reserve Needs'!B88:D88</f>
        <v xml:space="preserve">   Roofs, membrane</v>
      </c>
      <c r="C87" s="1419"/>
      <c r="D87" s="1420"/>
      <c r="E87" s="626">
        <v>9.1</v>
      </c>
      <c r="F87" s="331">
        <v>0</v>
      </c>
    </row>
    <row r="88" spans="2:6" ht="14" thickBot="1">
      <c r="B88" s="1418" t="str">
        <f>+'Reserve Needs'!B89:D89</f>
        <v xml:space="preserve">   Roofs, metal</v>
      </c>
      <c r="C88" s="1419"/>
      <c r="D88" s="1420"/>
      <c r="E88" s="626">
        <v>9.1</v>
      </c>
      <c r="F88" s="331">
        <v>0</v>
      </c>
    </row>
    <row r="89" spans="2:6" ht="14" thickBot="1">
      <c r="B89" s="1418" t="str">
        <f>+'Reserve Needs'!B90:D90</f>
        <v xml:space="preserve">   Fire Suppression</v>
      </c>
      <c r="C89" s="1419"/>
      <c r="D89" s="1420"/>
      <c r="E89" s="694">
        <v>10</v>
      </c>
      <c r="F89" s="331">
        <v>0</v>
      </c>
    </row>
    <row r="90" spans="2:6" ht="14" thickBot="1">
      <c r="B90" s="1418" t="str">
        <f>+'Reserve Needs'!B91:D91</f>
        <v xml:space="preserve">   Sprinkler system</v>
      </c>
      <c r="C90" s="1419"/>
      <c r="D90" s="1420"/>
      <c r="E90" s="626">
        <v>10.1</v>
      </c>
      <c r="F90" s="331">
        <v>0</v>
      </c>
    </row>
    <row r="91" spans="2:6" ht="14" thickBot="1">
      <c r="B91" s="1418" t="str">
        <f>+'Reserve Needs'!B92:D92</f>
        <v xml:space="preserve">   Life and Safety</v>
      </c>
      <c r="C91" s="1419"/>
      <c r="D91" s="1420"/>
      <c r="E91" s="626">
        <v>10.199999999999999</v>
      </c>
      <c r="F91" s="331">
        <v>0</v>
      </c>
    </row>
    <row r="92" spans="2:6" ht="14" thickBot="1">
      <c r="B92" s="1418" t="str">
        <f>+'Reserve Needs'!B93:D93</f>
        <v xml:space="preserve">   Elevator &amp; Vert. Trans.</v>
      </c>
      <c r="C92" s="1419"/>
      <c r="D92" s="1420"/>
      <c r="E92" s="694">
        <v>11</v>
      </c>
      <c r="F92" s="331">
        <v>0</v>
      </c>
    </row>
    <row r="93" spans="2:6" ht="14" thickBot="1">
      <c r="B93" s="1418" t="str">
        <f>+'Reserve Needs'!B94:D94</f>
        <v xml:space="preserve">   Elevator controller</v>
      </c>
      <c r="C93" s="1419"/>
      <c r="D93" s="1420"/>
      <c r="E93" s="626">
        <v>11.1</v>
      </c>
      <c r="F93" s="331">
        <v>0</v>
      </c>
    </row>
    <row r="94" spans="2:6" ht="14" thickBot="1">
      <c r="B94" s="1418" t="str">
        <f>+'Reserve Needs'!B95:D95</f>
        <v xml:space="preserve">   Elevator cab</v>
      </c>
      <c r="C94" s="1419"/>
      <c r="D94" s="1420"/>
      <c r="E94" s="626">
        <v>11.2</v>
      </c>
      <c r="F94" s="331">
        <v>0</v>
      </c>
    </row>
    <row r="95" spans="2:6" ht="14" thickBot="1">
      <c r="B95" s="1418" t="str">
        <f>+'Reserve Needs'!B96:D96</f>
        <v xml:space="preserve">   Elevator, machinery</v>
      </c>
      <c r="C95" s="1419"/>
      <c r="D95" s="1420"/>
      <c r="E95" s="626">
        <v>11.3</v>
      </c>
      <c r="F95" s="331">
        <v>0</v>
      </c>
    </row>
    <row r="96" spans="2:6" ht="14" thickBot="1">
      <c r="B96" s="1418" t="str">
        <f>+'Reserve Needs'!B97:D97</f>
        <v xml:space="preserve">   Elevator, shaft doors</v>
      </c>
      <c r="C96" s="1419"/>
      <c r="D96" s="1420"/>
      <c r="E96" s="626">
        <v>11.4</v>
      </c>
      <c r="F96" s="331">
        <v>0</v>
      </c>
    </row>
    <row r="97" spans="1:6" ht="14" thickBot="1">
      <c r="B97" s="1418" t="str">
        <f>+'Reserve Needs'!B98:D98</f>
        <v xml:space="preserve">   Elevator, shaftways</v>
      </c>
      <c r="C97" s="1419"/>
      <c r="D97" s="1420"/>
      <c r="E97" s="626">
        <v>11.5</v>
      </c>
      <c r="F97" s="331">
        <v>0</v>
      </c>
    </row>
    <row r="98" spans="1:6" ht="14" thickBot="1">
      <c r="B98" s="1418" t="str">
        <f>+'Reserve Needs'!B99:D99</f>
        <v xml:space="preserve">   ADA</v>
      </c>
      <c r="C98" s="1419"/>
      <c r="D98" s="1420"/>
      <c r="E98" s="694">
        <v>12</v>
      </c>
      <c r="F98" s="331">
        <v>0</v>
      </c>
    </row>
    <row r="99" spans="1:6" ht="14" thickBot="1">
      <c r="B99" s="1418" t="str">
        <f>+'Reserve Needs'!B100:D100</f>
        <v xml:space="preserve">   Safety &amp; Violations</v>
      </c>
      <c r="C99" s="1419"/>
      <c r="D99" s="1420"/>
      <c r="E99" s="694">
        <v>13</v>
      </c>
      <c r="F99" s="331">
        <v>0</v>
      </c>
    </row>
    <row r="100" spans="1:6" ht="14" thickBot="1">
      <c r="B100" s="1418" t="str">
        <f>+'Reserve Needs'!B101:D101</f>
        <v xml:space="preserve">   Security Systems</v>
      </c>
      <c r="C100" s="1419"/>
      <c r="D100" s="1420"/>
      <c r="E100" s="626">
        <v>13.1</v>
      </c>
      <c r="F100" s="331">
        <v>0</v>
      </c>
    </row>
    <row r="101" spans="1:6" ht="14" thickBot="1">
      <c r="B101" s="1418" t="str">
        <f>+'Reserve Needs'!B102:D102</f>
        <v xml:space="preserve">   Code Violations</v>
      </c>
      <c r="C101" s="1419"/>
      <c r="D101" s="1420"/>
      <c r="E101" s="626">
        <v>13.2</v>
      </c>
      <c r="F101" s="331">
        <v>0</v>
      </c>
    </row>
    <row r="102" spans="1:6" ht="14" thickBot="1">
      <c r="B102" s="1441" t="s">
        <v>50</v>
      </c>
      <c r="C102" s="1442"/>
      <c r="D102" s="1443"/>
      <c r="E102" s="626"/>
      <c r="F102" s="798">
        <v>0</v>
      </c>
    </row>
    <row r="103" spans="1:6" ht="14" thickBot="1">
      <c r="B103" s="1415" t="s">
        <v>80</v>
      </c>
      <c r="C103" s="1416"/>
      <c r="D103" s="1417"/>
      <c r="E103" s="527"/>
      <c r="F103" s="331">
        <v>0</v>
      </c>
    </row>
    <row r="104" spans="1:6" ht="14" thickBot="1">
      <c r="B104" s="1415" t="s">
        <v>80</v>
      </c>
      <c r="C104" s="1416"/>
      <c r="D104" s="1417"/>
      <c r="E104" s="527"/>
      <c r="F104" s="331">
        <v>0</v>
      </c>
    </row>
    <row r="105" spans="1:6" ht="14" thickBot="1">
      <c r="B105" s="1415" t="s">
        <v>80</v>
      </c>
      <c r="C105" s="1416"/>
      <c r="D105" s="1417"/>
      <c r="E105" s="527"/>
      <c r="F105" s="331">
        <v>0</v>
      </c>
    </row>
    <row r="106" spans="1:6" ht="14" thickBot="1">
      <c r="B106" s="1415" t="s">
        <v>80</v>
      </c>
      <c r="C106" s="1416"/>
      <c r="D106" s="1417"/>
      <c r="E106" s="527"/>
      <c r="F106" s="331">
        <v>0</v>
      </c>
    </row>
    <row r="107" spans="1:6">
      <c r="B107" s="1415" t="s">
        <v>80</v>
      </c>
      <c r="C107" s="1416"/>
      <c r="D107" s="1417"/>
      <c r="E107" s="527"/>
      <c r="F107" s="331">
        <v>0</v>
      </c>
    </row>
    <row r="108" spans="1:6" ht="17" thickBot="1">
      <c r="B108" s="1424" t="s">
        <v>750</v>
      </c>
      <c r="C108" s="1425"/>
      <c r="D108" s="1426"/>
      <c r="E108" s="529"/>
      <c r="F108" s="245">
        <f>SUM(F3:F107)</f>
        <v>0</v>
      </c>
    </row>
    <row r="109" spans="1:6">
      <c r="F109" s="374" t="e">
        <f>Cover!$H$6</f>
        <v>#N/A</v>
      </c>
    </row>
    <row r="110" spans="1:6" ht="14" thickBot="1">
      <c r="A110" s="381" t="s">
        <v>1165</v>
      </c>
    </row>
    <row r="111" spans="1:6" ht="33" customHeight="1" thickTop="1" thickBot="1">
      <c r="B111" s="780" t="s">
        <v>1095</v>
      </c>
      <c r="C111" s="781"/>
      <c r="D111" s="782"/>
      <c r="E111" s="530" t="s">
        <v>1299</v>
      </c>
      <c r="F111" s="246" t="s">
        <v>1096</v>
      </c>
    </row>
    <row r="112" spans="1:6">
      <c r="B112" s="1421" t="s">
        <v>1110</v>
      </c>
      <c r="C112" s="1422"/>
      <c r="D112" s="1423"/>
      <c r="E112" s="626">
        <v>3</v>
      </c>
      <c r="F112" s="331">
        <v>0</v>
      </c>
    </row>
    <row r="113" spans="2:6">
      <c r="B113" s="1421" t="s">
        <v>1097</v>
      </c>
      <c r="C113" s="1422"/>
      <c r="D113" s="1423"/>
      <c r="E113" s="626">
        <v>4</v>
      </c>
      <c r="F113" s="331">
        <v>0</v>
      </c>
    </row>
    <row r="114" spans="2:6">
      <c r="B114" s="1421" t="s">
        <v>1111</v>
      </c>
      <c r="C114" s="1422"/>
      <c r="D114" s="1423"/>
      <c r="E114" s="626">
        <v>5</v>
      </c>
      <c r="F114" s="331">
        <v>0</v>
      </c>
    </row>
    <row r="115" spans="2:6">
      <c r="B115" s="1421" t="s">
        <v>1112</v>
      </c>
      <c r="C115" s="1422"/>
      <c r="D115" s="1423"/>
      <c r="E115" s="626">
        <v>6</v>
      </c>
      <c r="F115" s="331">
        <v>0</v>
      </c>
    </row>
    <row r="116" spans="2:6">
      <c r="B116" s="1421" t="s">
        <v>1113</v>
      </c>
      <c r="C116" s="1422"/>
      <c r="D116" s="1423"/>
      <c r="E116" s="626">
        <v>6</v>
      </c>
      <c r="F116" s="331">
        <v>0</v>
      </c>
    </row>
    <row r="117" spans="2:6">
      <c r="B117" s="1421" t="s">
        <v>215</v>
      </c>
      <c r="C117" s="1422"/>
      <c r="D117" s="1423"/>
      <c r="E117" s="626">
        <v>6</v>
      </c>
      <c r="F117" s="331">
        <v>0</v>
      </c>
    </row>
    <row r="118" spans="2:6">
      <c r="B118" s="1421" t="s">
        <v>216</v>
      </c>
      <c r="C118" s="1422"/>
      <c r="D118" s="1423"/>
      <c r="E118" s="626">
        <v>7</v>
      </c>
      <c r="F118" s="331">
        <v>0</v>
      </c>
    </row>
    <row r="119" spans="2:6">
      <c r="B119" s="1421" t="s">
        <v>217</v>
      </c>
      <c r="C119" s="1422"/>
      <c r="D119" s="1423"/>
      <c r="E119" s="626">
        <v>7</v>
      </c>
      <c r="F119" s="331">
        <v>0</v>
      </c>
    </row>
    <row r="120" spans="2:6">
      <c r="B120" s="1421" t="s">
        <v>218</v>
      </c>
      <c r="C120" s="1422"/>
      <c r="D120" s="1423"/>
      <c r="E120" s="626">
        <v>7</v>
      </c>
      <c r="F120" s="331">
        <v>0</v>
      </c>
    </row>
    <row r="121" spans="2:6">
      <c r="B121" s="1421" t="s">
        <v>219</v>
      </c>
      <c r="C121" s="1422"/>
      <c r="D121" s="1423"/>
      <c r="E121" s="626">
        <v>8</v>
      </c>
      <c r="F121" s="331">
        <v>0</v>
      </c>
    </row>
    <row r="122" spans="2:6">
      <c r="B122" s="1421" t="s">
        <v>507</v>
      </c>
      <c r="C122" s="1422"/>
      <c r="D122" s="1423"/>
      <c r="E122" s="626">
        <v>8</v>
      </c>
      <c r="F122" s="331">
        <v>0</v>
      </c>
    </row>
    <row r="123" spans="2:6">
      <c r="B123" s="1421" t="s">
        <v>220</v>
      </c>
      <c r="C123" s="1422"/>
      <c r="D123" s="1423"/>
      <c r="E123" s="626">
        <v>8</v>
      </c>
      <c r="F123" s="331">
        <v>0</v>
      </c>
    </row>
    <row r="124" spans="2:6">
      <c r="B124" s="1421" t="s">
        <v>221</v>
      </c>
      <c r="C124" s="1422"/>
      <c r="D124" s="1423"/>
      <c r="E124" s="626">
        <v>9</v>
      </c>
      <c r="F124" s="331">
        <v>0</v>
      </c>
    </row>
    <row r="125" spans="2:6">
      <c r="B125" s="1421" t="s">
        <v>222</v>
      </c>
      <c r="C125" s="1422"/>
      <c r="D125" s="1423"/>
      <c r="E125" s="626">
        <v>9</v>
      </c>
      <c r="F125" s="331">
        <v>0</v>
      </c>
    </row>
    <row r="126" spans="2:6">
      <c r="B126" s="1421" t="s">
        <v>223</v>
      </c>
      <c r="C126" s="1422"/>
      <c r="D126" s="1423"/>
      <c r="E126" s="626">
        <v>9</v>
      </c>
      <c r="F126" s="331">
        <v>0</v>
      </c>
    </row>
    <row r="127" spans="2:6">
      <c r="B127" s="1421" t="s">
        <v>1098</v>
      </c>
      <c r="C127" s="1422"/>
      <c r="D127" s="1423"/>
      <c r="E127" s="626">
        <v>9</v>
      </c>
      <c r="F127" s="331">
        <v>0</v>
      </c>
    </row>
    <row r="128" spans="2:6">
      <c r="B128" s="1421" t="s">
        <v>224</v>
      </c>
      <c r="C128" s="1422"/>
      <c r="D128" s="1423"/>
      <c r="E128" s="626">
        <v>9</v>
      </c>
      <c r="F128" s="331">
        <v>0</v>
      </c>
    </row>
    <row r="129" spans="2:6">
      <c r="B129" s="1421" t="s">
        <v>502</v>
      </c>
      <c r="C129" s="1422"/>
      <c r="D129" s="1423"/>
      <c r="E129" s="626">
        <v>9</v>
      </c>
      <c r="F129" s="331">
        <v>0</v>
      </c>
    </row>
    <row r="130" spans="2:6">
      <c r="B130" s="1421" t="s">
        <v>1325</v>
      </c>
      <c r="C130" s="1422"/>
      <c r="D130" s="1423"/>
      <c r="E130" s="626">
        <v>9</v>
      </c>
      <c r="F130" s="331">
        <v>0</v>
      </c>
    </row>
    <row r="131" spans="2:6">
      <c r="B131" s="1421" t="s">
        <v>1099</v>
      </c>
      <c r="C131" s="1422"/>
      <c r="D131" s="1423"/>
      <c r="E131" s="626">
        <v>10</v>
      </c>
      <c r="F131" s="331">
        <v>0</v>
      </c>
    </row>
    <row r="132" spans="2:6">
      <c r="B132" s="1421" t="s">
        <v>1326</v>
      </c>
      <c r="C132" s="1422"/>
      <c r="D132" s="1423"/>
      <c r="E132" s="626">
        <v>11</v>
      </c>
      <c r="F132" s="331">
        <v>0</v>
      </c>
    </row>
    <row r="133" spans="2:6">
      <c r="B133" s="1421" t="s">
        <v>1327</v>
      </c>
      <c r="C133" s="1422"/>
      <c r="D133" s="1423"/>
      <c r="E133" s="626">
        <v>11</v>
      </c>
      <c r="F133" s="331">
        <v>0</v>
      </c>
    </row>
    <row r="134" spans="2:6">
      <c r="B134" s="1421" t="s">
        <v>1328</v>
      </c>
      <c r="C134" s="1422"/>
      <c r="D134" s="1423"/>
      <c r="E134" s="626">
        <v>11</v>
      </c>
      <c r="F134" s="331">
        <v>0</v>
      </c>
    </row>
    <row r="135" spans="2:6">
      <c r="B135" s="1421" t="s">
        <v>1329</v>
      </c>
      <c r="C135" s="1422"/>
      <c r="D135" s="1423"/>
      <c r="E135" s="626">
        <v>12</v>
      </c>
      <c r="F135" s="331">
        <v>0</v>
      </c>
    </row>
    <row r="136" spans="2:6">
      <c r="B136" s="1421" t="s">
        <v>1346</v>
      </c>
      <c r="C136" s="1422"/>
      <c r="D136" s="1423"/>
      <c r="E136" s="626">
        <v>12</v>
      </c>
      <c r="F136" s="331">
        <v>0</v>
      </c>
    </row>
    <row r="137" spans="2:6">
      <c r="B137" s="1421" t="s">
        <v>1347</v>
      </c>
      <c r="C137" s="1422"/>
      <c r="D137" s="1423"/>
      <c r="E137" s="626">
        <v>13</v>
      </c>
      <c r="F137" s="331">
        <v>0</v>
      </c>
    </row>
    <row r="138" spans="2:6">
      <c r="B138" s="1421" t="s">
        <v>1348</v>
      </c>
      <c r="C138" s="1422"/>
      <c r="D138" s="1423"/>
      <c r="E138" s="626">
        <v>14</v>
      </c>
      <c r="F138" s="331">
        <v>0</v>
      </c>
    </row>
    <row r="139" spans="2:6">
      <c r="B139" s="1421" t="s">
        <v>1349</v>
      </c>
      <c r="C139" s="1422"/>
      <c r="D139" s="1423"/>
      <c r="E139" s="626">
        <v>15</v>
      </c>
      <c r="F139" s="331">
        <v>0</v>
      </c>
    </row>
    <row r="140" spans="2:6">
      <c r="B140" s="1421" t="s">
        <v>1350</v>
      </c>
      <c r="C140" s="1422"/>
      <c r="D140" s="1423"/>
      <c r="E140" s="626">
        <v>15</v>
      </c>
      <c r="F140" s="331">
        <v>0</v>
      </c>
    </row>
    <row r="141" spans="2:6">
      <c r="B141" s="1421" t="s">
        <v>1351</v>
      </c>
      <c r="C141" s="1422"/>
      <c r="D141" s="1423"/>
      <c r="E141" s="626">
        <v>15</v>
      </c>
      <c r="F141" s="331">
        <v>0</v>
      </c>
    </row>
    <row r="142" spans="2:6">
      <c r="B142" s="1421" t="s">
        <v>1352</v>
      </c>
      <c r="C142" s="1422"/>
      <c r="D142" s="1423"/>
      <c r="E142" s="626">
        <v>16</v>
      </c>
      <c r="F142" s="331">
        <v>0</v>
      </c>
    </row>
    <row r="143" spans="2:6">
      <c r="B143" s="1421" t="s">
        <v>1353</v>
      </c>
      <c r="C143" s="1422"/>
      <c r="D143" s="1423"/>
      <c r="E143" s="626"/>
      <c r="F143" s="331">
        <v>0</v>
      </c>
    </row>
    <row r="144" spans="2:6">
      <c r="B144" s="1421" t="s">
        <v>1354</v>
      </c>
      <c r="C144" s="1422"/>
      <c r="D144" s="1423"/>
      <c r="E144" s="626">
        <v>2</v>
      </c>
      <c r="F144" s="331">
        <v>0</v>
      </c>
    </row>
    <row r="145" spans="2:8">
      <c r="B145" s="1421" t="s">
        <v>1355</v>
      </c>
      <c r="C145" s="1422"/>
      <c r="D145" s="1423"/>
      <c r="E145" s="626">
        <v>2</v>
      </c>
      <c r="F145" s="331">
        <v>0</v>
      </c>
    </row>
    <row r="146" spans="2:8">
      <c r="B146" s="1421" t="s">
        <v>1356</v>
      </c>
      <c r="C146" s="1422"/>
      <c r="D146" s="1423"/>
      <c r="E146" s="626">
        <v>2</v>
      </c>
      <c r="F146" s="331">
        <v>0</v>
      </c>
    </row>
    <row r="147" spans="2:8">
      <c r="B147" s="1421" t="s">
        <v>1357</v>
      </c>
      <c r="C147" s="1422"/>
      <c r="D147" s="1423"/>
      <c r="E147" s="626">
        <v>2</v>
      </c>
      <c r="F147" s="331">
        <v>0</v>
      </c>
    </row>
    <row r="148" spans="2:8">
      <c r="B148" s="1421" t="s">
        <v>326</v>
      </c>
      <c r="C148" s="1422"/>
      <c r="D148" s="1423"/>
      <c r="E148" s="626">
        <v>2</v>
      </c>
      <c r="F148" s="331">
        <v>0</v>
      </c>
    </row>
    <row r="149" spans="2:8" ht="14" thickBot="1">
      <c r="B149" s="1438" t="s">
        <v>327</v>
      </c>
      <c r="C149" s="1439"/>
      <c r="D149" s="1440"/>
      <c r="E149" s="628">
        <v>2</v>
      </c>
      <c r="F149" s="332">
        <v>0</v>
      </c>
    </row>
    <row r="150" spans="2:8" ht="14" thickTop="1">
      <c r="B150" s="355"/>
      <c r="C150" s="355"/>
      <c r="D150" s="783" t="e">
        <f>Cover!$H$6</f>
        <v>#N/A</v>
      </c>
      <c r="G150" s="374"/>
    </row>
    <row r="151" spans="2:8" ht="14" thickBot="1">
      <c r="B151" s="355"/>
      <c r="C151" s="355"/>
      <c r="D151" s="355"/>
    </row>
    <row r="152" spans="2:8" ht="33" customHeight="1" thickTop="1" thickBot="1">
      <c r="B152" s="780" t="s">
        <v>75</v>
      </c>
      <c r="C152" s="836"/>
      <c r="D152" s="835"/>
      <c r="E152" s="530" t="s">
        <v>1299</v>
      </c>
      <c r="F152" s="246" t="s">
        <v>1096</v>
      </c>
    </row>
    <row r="153" spans="2:8">
      <c r="B153" s="1421" t="s">
        <v>328</v>
      </c>
      <c r="C153" s="1422"/>
      <c r="D153" s="1423"/>
      <c r="E153" s="626">
        <v>1</v>
      </c>
      <c r="F153" s="334">
        <f>SUM(F154:F167)</f>
        <v>0</v>
      </c>
    </row>
    <row r="154" spans="2:8">
      <c r="B154" s="1435" t="s">
        <v>329</v>
      </c>
      <c r="C154" s="1436"/>
      <c r="D154" s="1437"/>
      <c r="E154" s="629">
        <v>1</v>
      </c>
      <c r="F154" s="335">
        <v>0</v>
      </c>
      <c r="H154" s="382"/>
    </row>
    <row r="155" spans="2:8">
      <c r="B155" s="1435" t="s">
        <v>330</v>
      </c>
      <c r="C155" s="1436"/>
      <c r="D155" s="1437"/>
      <c r="E155" s="629">
        <v>1</v>
      </c>
      <c r="F155" s="335">
        <v>0</v>
      </c>
    </row>
    <row r="156" spans="2:8">
      <c r="B156" s="1435" t="s">
        <v>331</v>
      </c>
      <c r="C156" s="1436"/>
      <c r="D156" s="1437"/>
      <c r="E156" s="629">
        <v>1</v>
      </c>
      <c r="F156" s="335">
        <v>0</v>
      </c>
    </row>
    <row r="157" spans="2:8">
      <c r="B157" s="1435" t="s">
        <v>332</v>
      </c>
      <c r="C157" s="1436"/>
      <c r="D157" s="1437"/>
      <c r="E157" s="629">
        <v>1</v>
      </c>
      <c r="F157" s="335">
        <v>0</v>
      </c>
    </row>
    <row r="158" spans="2:8">
      <c r="B158" s="1435" t="s">
        <v>333</v>
      </c>
      <c r="C158" s="1436"/>
      <c r="D158" s="1437"/>
      <c r="E158" s="629">
        <v>1</v>
      </c>
      <c r="F158" s="335">
        <v>0</v>
      </c>
    </row>
    <row r="159" spans="2:8">
      <c r="B159" s="1435" t="s">
        <v>334</v>
      </c>
      <c r="C159" s="1436"/>
      <c r="D159" s="1437"/>
      <c r="E159" s="629">
        <v>1</v>
      </c>
      <c r="F159" s="335">
        <v>0</v>
      </c>
    </row>
    <row r="160" spans="2:8">
      <c r="B160" s="1435" t="s">
        <v>335</v>
      </c>
      <c r="C160" s="1436"/>
      <c r="D160" s="1437"/>
      <c r="E160" s="629">
        <v>1</v>
      </c>
      <c r="F160" s="335">
        <v>0</v>
      </c>
    </row>
    <row r="161" spans="2:6">
      <c r="B161" s="1435" t="s">
        <v>336</v>
      </c>
      <c r="C161" s="1436"/>
      <c r="D161" s="1437"/>
      <c r="E161" s="629">
        <v>1</v>
      </c>
      <c r="F161" s="335">
        <v>0</v>
      </c>
    </row>
    <row r="162" spans="2:6">
      <c r="B162" s="825" t="s">
        <v>337</v>
      </c>
      <c r="C162" s="826"/>
      <c r="D162" s="827"/>
      <c r="E162" s="629">
        <v>1</v>
      </c>
      <c r="F162" s="335">
        <v>0</v>
      </c>
    </row>
    <row r="163" spans="2:6">
      <c r="B163" s="825" t="s">
        <v>338</v>
      </c>
      <c r="C163" s="826"/>
      <c r="D163" s="827"/>
      <c r="E163" s="629">
        <v>1</v>
      </c>
      <c r="F163" s="335">
        <v>0</v>
      </c>
    </row>
    <row r="164" spans="2:6">
      <c r="B164" s="1432" t="s">
        <v>339</v>
      </c>
      <c r="C164" s="1433"/>
      <c r="D164" s="1434"/>
      <c r="E164" s="526">
        <v>1</v>
      </c>
      <c r="F164" s="335">
        <v>0</v>
      </c>
    </row>
    <row r="165" spans="2:6">
      <c r="B165" s="1432" t="s">
        <v>339</v>
      </c>
      <c r="C165" s="1433"/>
      <c r="D165" s="1434"/>
      <c r="E165" s="526">
        <v>1</v>
      </c>
      <c r="F165" s="335">
        <v>0</v>
      </c>
    </row>
    <row r="166" spans="2:6">
      <c r="B166" s="1432" t="s">
        <v>339</v>
      </c>
      <c r="C166" s="1433"/>
      <c r="D166" s="1434"/>
      <c r="E166" s="526">
        <v>1</v>
      </c>
      <c r="F166" s="335">
        <v>0</v>
      </c>
    </row>
    <row r="167" spans="2:6" ht="14" thickBot="1">
      <c r="B167" s="1432" t="s">
        <v>339</v>
      </c>
      <c r="C167" s="1433"/>
      <c r="D167" s="1434"/>
      <c r="E167" s="531">
        <v>1</v>
      </c>
      <c r="F167" s="336">
        <v>0</v>
      </c>
    </row>
    <row r="168" spans="2:6">
      <c r="B168" s="1421" t="s">
        <v>340</v>
      </c>
      <c r="C168" s="1422"/>
      <c r="D168" s="1423"/>
      <c r="E168" s="630"/>
      <c r="F168" s="337">
        <v>0</v>
      </c>
    </row>
    <row r="169" spans="2:6">
      <c r="B169" s="1421" t="s">
        <v>744</v>
      </c>
      <c r="C169" s="1422"/>
      <c r="D169" s="1423"/>
      <c r="E169" s="626"/>
      <c r="F169" s="331">
        <v>0</v>
      </c>
    </row>
    <row r="170" spans="2:6">
      <c r="B170" s="1421" t="s">
        <v>745</v>
      </c>
      <c r="C170" s="1422"/>
      <c r="D170" s="1423"/>
      <c r="E170" s="626"/>
      <c r="F170" s="331">
        <v>0</v>
      </c>
    </row>
    <row r="171" spans="2:6">
      <c r="B171" s="1421" t="s">
        <v>746</v>
      </c>
      <c r="C171" s="1422"/>
      <c r="D171" s="1423"/>
      <c r="E171" s="626"/>
      <c r="F171" s="331">
        <v>0</v>
      </c>
    </row>
    <row r="172" spans="2:6" ht="14" thickBot="1">
      <c r="B172" s="1421" t="s">
        <v>747</v>
      </c>
      <c r="C172" s="1422"/>
      <c r="D172" s="1423"/>
      <c r="E172" s="626"/>
      <c r="F172" s="331">
        <v>0</v>
      </c>
    </row>
    <row r="173" spans="2:6">
      <c r="B173" s="1427" t="s">
        <v>50</v>
      </c>
      <c r="C173" s="1428"/>
      <c r="D173" s="1429"/>
      <c r="E173" s="838"/>
      <c r="F173" s="798">
        <v>0</v>
      </c>
    </row>
    <row r="174" spans="2:6">
      <c r="B174" s="1430" t="s">
        <v>80</v>
      </c>
      <c r="C174" s="1363"/>
      <c r="D174" s="1431"/>
      <c r="E174" s="527"/>
      <c r="F174" s="331">
        <v>0</v>
      </c>
    </row>
    <row r="175" spans="2:6">
      <c r="B175" s="1430" t="s">
        <v>80</v>
      </c>
      <c r="C175" s="1363"/>
      <c r="D175" s="1431"/>
      <c r="E175" s="527"/>
      <c r="F175" s="331">
        <v>0</v>
      </c>
    </row>
    <row r="176" spans="2:6">
      <c r="B176" s="1430" t="s">
        <v>80</v>
      </c>
      <c r="C176" s="1363"/>
      <c r="D176" s="1431"/>
      <c r="E176" s="527"/>
      <c r="F176" s="331">
        <v>0</v>
      </c>
    </row>
    <row r="177" spans="2:7">
      <c r="B177" s="1430" t="s">
        <v>80</v>
      </c>
      <c r="C177" s="1363"/>
      <c r="D177" s="1431"/>
      <c r="E177" s="527"/>
      <c r="F177" s="331">
        <v>0</v>
      </c>
    </row>
    <row r="178" spans="2:7">
      <c r="B178" s="1430" t="s">
        <v>80</v>
      </c>
      <c r="C178" s="1363"/>
      <c r="D178" s="1431"/>
      <c r="E178" s="527"/>
      <c r="F178" s="331">
        <v>0</v>
      </c>
    </row>
    <row r="179" spans="2:7">
      <c r="B179" s="1430" t="s">
        <v>80</v>
      </c>
      <c r="C179" s="1363"/>
      <c r="D179" s="1431"/>
      <c r="E179" s="527"/>
      <c r="F179" s="331">
        <v>0</v>
      </c>
    </row>
    <row r="180" spans="2:7">
      <c r="B180" s="1430" t="s">
        <v>80</v>
      </c>
      <c r="C180" s="1363"/>
      <c r="D180" s="1431"/>
      <c r="E180" s="527"/>
      <c r="F180" s="331">
        <v>0</v>
      </c>
    </row>
    <row r="181" spans="2:7" ht="17" thickBot="1">
      <c r="B181" s="1424" t="s">
        <v>748</v>
      </c>
      <c r="C181" s="1425"/>
      <c r="D181" s="1426"/>
      <c r="E181" s="529"/>
      <c r="F181" s="245">
        <f>SUM(F112:F180)-F153</f>
        <v>0</v>
      </c>
    </row>
    <row r="182" spans="2:7" ht="14" thickTop="1"/>
    <row r="183" spans="2:7">
      <c r="F183" s="374" t="e">
        <f>Cover!$H$6</f>
        <v>#N/A</v>
      </c>
    </row>
    <row r="184" spans="2:7" ht="14" thickBot="1"/>
    <row r="185" spans="2:7">
      <c r="C185" s="600" t="s">
        <v>328</v>
      </c>
      <c r="D185" s="601"/>
      <c r="E185" s="604" t="s">
        <v>242</v>
      </c>
      <c r="F185" s="608">
        <f>(SUM($F$112:$F$149)+SUM($F$170:$F$180)+F$108)*0.06</f>
        <v>0</v>
      </c>
    </row>
    <row r="186" spans="2:7" ht="14" thickBot="1">
      <c r="C186" s="602"/>
      <c r="D186" s="603"/>
      <c r="E186" s="607" t="s">
        <v>243</v>
      </c>
      <c r="F186" s="606">
        <f>+F153</f>
        <v>0</v>
      </c>
      <c r="G186" s="231" t="str">
        <f>IF(F186&gt;F185,"!","")</f>
        <v/>
      </c>
    </row>
    <row r="187" spans="2:7">
      <c r="C187" s="600" t="s">
        <v>241</v>
      </c>
      <c r="D187" s="601"/>
      <c r="E187" s="604" t="s">
        <v>242</v>
      </c>
      <c r="F187" s="608">
        <f>(SUM($F$112:$F$149)+F186+F108+SUM($F$170:$F$180))*0.02</f>
        <v>0</v>
      </c>
    </row>
    <row r="188" spans="2:7" ht="14" thickBot="1">
      <c r="C188" s="602"/>
      <c r="D188" s="603"/>
      <c r="E188" s="605" t="s">
        <v>243</v>
      </c>
      <c r="F188" s="606">
        <f>+F168</f>
        <v>0</v>
      </c>
      <c r="G188" s="231" t="str">
        <f>IF(F188&gt;F187,"!","")</f>
        <v/>
      </c>
    </row>
    <row r="189" spans="2:7">
      <c r="C189" s="600" t="s">
        <v>744</v>
      </c>
      <c r="D189" s="601"/>
      <c r="E189" s="604" t="s">
        <v>242</v>
      </c>
      <c r="F189" s="608">
        <f>(SUM($F$112:$F$149)+F186+F108+SUM($F$170:$F$180))*0.06</f>
        <v>0</v>
      </c>
    </row>
    <row r="190" spans="2:7" ht="14" thickBot="1">
      <c r="C190" s="602"/>
      <c r="D190" s="603"/>
      <c r="E190" s="605" t="s">
        <v>243</v>
      </c>
      <c r="F190" s="606">
        <f>+F169</f>
        <v>0</v>
      </c>
      <c r="G190" s="231" t="str">
        <f>IF(F190&gt;F189,"!","")</f>
        <v/>
      </c>
    </row>
    <row r="191" spans="2:7">
      <c r="C191" s="600" t="s">
        <v>1240</v>
      </c>
      <c r="D191" s="601"/>
      <c r="E191" s="604" t="s">
        <v>242</v>
      </c>
      <c r="F191" s="608">
        <f>0.15*G191</f>
        <v>0</v>
      </c>
      <c r="G191" s="848">
        <f>((+'Sources&amp;Uses'!$F41-(SUM('Sources&amp;Uses'!F34:F40))))-'Sources&amp;Uses'!I32</f>
        <v>0</v>
      </c>
    </row>
    <row r="192" spans="2:7" ht="14" thickBot="1">
      <c r="C192" s="602"/>
      <c r="D192" s="603"/>
      <c r="E192" s="605" t="s">
        <v>243</v>
      </c>
      <c r="F192" s="1116">
        <v>0</v>
      </c>
      <c r="G192" s="231" t="str">
        <f>IF(F192&gt;F191,"!","")</f>
        <v/>
      </c>
    </row>
    <row r="193" spans="3:7" ht="14" thickBot="1">
      <c r="C193" s="739"/>
      <c r="D193" s="740"/>
      <c r="E193" s="741" t="s">
        <v>231</v>
      </c>
      <c r="F193" s="743">
        <f>INT((+'Project Schedule'!H51-'Project Schedule'!H46)*12/365)</f>
        <v>0</v>
      </c>
      <c r="G193" s="742">
        <f>MIN(13,G194)</f>
        <v>8</v>
      </c>
    </row>
    <row r="194" spans="3:7">
      <c r="G194" s="742">
        <f>MAX(F193,8)</f>
        <v>8</v>
      </c>
    </row>
  </sheetData>
  <sheetProtection password="CCBC" sheet="1" objects="1" scenarios="1"/>
  <mergeCells count="172">
    <mergeCell ref="B29:D29"/>
    <mergeCell ref="B30:D30"/>
    <mergeCell ref="B31:D31"/>
    <mergeCell ref="B32:D32"/>
    <mergeCell ref="B49:D49"/>
    <mergeCell ref="B47:D47"/>
    <mergeCell ref="B48:D48"/>
    <mergeCell ref="B35:D35"/>
    <mergeCell ref="B33:D33"/>
    <mergeCell ref="B36:D36"/>
    <mergeCell ref="B37:D37"/>
    <mergeCell ref="B38:D38"/>
    <mergeCell ref="B39:D39"/>
    <mergeCell ref="B102:D102"/>
    <mergeCell ref="B103:D103"/>
    <mergeCell ref="B40:D40"/>
    <mergeCell ref="B41:D41"/>
    <mergeCell ref="B34:D34"/>
    <mergeCell ref="B3:D3"/>
    <mergeCell ref="B4:D4"/>
    <mergeCell ref="B5:D5"/>
    <mergeCell ref="B6:D6"/>
    <mergeCell ref="B23:D23"/>
    <mergeCell ref="B24:D24"/>
    <mergeCell ref="B7:D7"/>
    <mergeCell ref="B20:D20"/>
    <mergeCell ref="B21:D21"/>
    <mergeCell ref="B22:D22"/>
    <mergeCell ref="B12:D12"/>
    <mergeCell ref="B25:D25"/>
    <mergeCell ref="B27:D27"/>
    <mergeCell ref="B28:D28"/>
    <mergeCell ref="B26:D26"/>
    <mergeCell ref="B8:D8"/>
    <mergeCell ref="B9:D9"/>
    <mergeCell ref="B16:D16"/>
    <mergeCell ref="B17:D17"/>
    <mergeCell ref="B144:D144"/>
    <mergeCell ref="B145:D145"/>
    <mergeCell ref="B146:D146"/>
    <mergeCell ref="B147:D147"/>
    <mergeCell ref="B148:D148"/>
    <mergeCell ref="B149:D149"/>
    <mergeCell ref="B51:D51"/>
    <mergeCell ref="B52:D52"/>
    <mergeCell ref="B53:D53"/>
    <mergeCell ref="B129:D129"/>
    <mergeCell ref="B130:D130"/>
    <mergeCell ref="B131:D131"/>
    <mergeCell ref="B120:D120"/>
    <mergeCell ref="B121:D121"/>
    <mergeCell ref="B122:D122"/>
    <mergeCell ref="B123:D123"/>
    <mergeCell ref="B118:D118"/>
    <mergeCell ref="B119:D119"/>
    <mergeCell ref="B112:D112"/>
    <mergeCell ref="B113:D113"/>
    <mergeCell ref="B114:D114"/>
    <mergeCell ref="B115:D115"/>
    <mergeCell ref="B108:D108"/>
    <mergeCell ref="B104:D104"/>
    <mergeCell ref="B164:D164"/>
    <mergeCell ref="B165:D165"/>
    <mergeCell ref="B166:D166"/>
    <mergeCell ref="B159:D159"/>
    <mergeCell ref="B160:D160"/>
    <mergeCell ref="B161:D161"/>
    <mergeCell ref="B153:D153"/>
    <mergeCell ref="B154:D154"/>
    <mergeCell ref="B155:D155"/>
    <mergeCell ref="B156:D156"/>
    <mergeCell ref="B157:D157"/>
    <mergeCell ref="B158:D158"/>
    <mergeCell ref="B181:D181"/>
    <mergeCell ref="B171:D171"/>
    <mergeCell ref="B172:D172"/>
    <mergeCell ref="B173:D173"/>
    <mergeCell ref="B174:D174"/>
    <mergeCell ref="B179:D179"/>
    <mergeCell ref="B169:D169"/>
    <mergeCell ref="B170:D170"/>
    <mergeCell ref="B167:D167"/>
    <mergeCell ref="B168:D168"/>
    <mergeCell ref="B180:D180"/>
    <mergeCell ref="B175:D175"/>
    <mergeCell ref="B176:D176"/>
    <mergeCell ref="B177:D177"/>
    <mergeCell ref="B178:D178"/>
    <mergeCell ref="B19:D19"/>
    <mergeCell ref="B13:D13"/>
    <mergeCell ref="B14:D14"/>
    <mergeCell ref="B15:D15"/>
    <mergeCell ref="B18:D18"/>
    <mergeCell ref="B10:D10"/>
    <mergeCell ref="B11:D11"/>
    <mergeCell ref="B124:D124"/>
    <mergeCell ref="B125:D125"/>
    <mergeCell ref="B116:D116"/>
    <mergeCell ref="B117:D117"/>
    <mergeCell ref="B42:D42"/>
    <mergeCell ref="B43:D43"/>
    <mergeCell ref="B44:D44"/>
    <mergeCell ref="B45:D45"/>
    <mergeCell ref="B46:D46"/>
    <mergeCell ref="B50:D50"/>
    <mergeCell ref="B54:D54"/>
    <mergeCell ref="B55:D55"/>
    <mergeCell ref="B56:D56"/>
    <mergeCell ref="B71:D71"/>
    <mergeCell ref="B72:D72"/>
    <mergeCell ref="B73:D73"/>
    <mergeCell ref="B74:D74"/>
    <mergeCell ref="B140:D140"/>
    <mergeCell ref="B141:D141"/>
    <mergeCell ref="B142:D142"/>
    <mergeCell ref="B143:D143"/>
    <mergeCell ref="B132:D132"/>
    <mergeCell ref="B133:D133"/>
    <mergeCell ref="B134:D134"/>
    <mergeCell ref="B135:D135"/>
    <mergeCell ref="B136:D136"/>
    <mergeCell ref="B137:D137"/>
    <mergeCell ref="B138:D138"/>
    <mergeCell ref="B139:D139"/>
    <mergeCell ref="B126:D126"/>
    <mergeCell ref="B127:D127"/>
    <mergeCell ref="B128:D128"/>
    <mergeCell ref="B63:D63"/>
    <mergeCell ref="B66:D66"/>
    <mergeCell ref="B67:D67"/>
    <mergeCell ref="B68:D68"/>
    <mergeCell ref="B57:D57"/>
    <mergeCell ref="B58:D58"/>
    <mergeCell ref="B59:D59"/>
    <mergeCell ref="B60:D60"/>
    <mergeCell ref="B61:D61"/>
    <mergeCell ref="B62:D62"/>
    <mergeCell ref="B64:D64"/>
    <mergeCell ref="B65:D65"/>
    <mergeCell ref="B86:D86"/>
    <mergeCell ref="B75:D75"/>
    <mergeCell ref="B76:D76"/>
    <mergeCell ref="B77:D77"/>
    <mergeCell ref="B78:D78"/>
    <mergeCell ref="B79:D79"/>
    <mergeCell ref="B80:D80"/>
    <mergeCell ref="B69:D69"/>
    <mergeCell ref="B70:D70"/>
    <mergeCell ref="C1:D1"/>
    <mergeCell ref="B105:D105"/>
    <mergeCell ref="B106:D106"/>
    <mergeCell ref="B107:D107"/>
    <mergeCell ref="B94:D94"/>
    <mergeCell ref="B95:D95"/>
    <mergeCell ref="B100:D100"/>
    <mergeCell ref="B101:D101"/>
    <mergeCell ref="B96:D96"/>
    <mergeCell ref="B97:D97"/>
    <mergeCell ref="B87:D87"/>
    <mergeCell ref="B88:D88"/>
    <mergeCell ref="B89:D89"/>
    <mergeCell ref="B98:D98"/>
    <mergeCell ref="B99:D99"/>
    <mergeCell ref="B90:D90"/>
    <mergeCell ref="B91:D91"/>
    <mergeCell ref="B92:D92"/>
    <mergeCell ref="B93:D93"/>
    <mergeCell ref="B81:D81"/>
    <mergeCell ref="B82:D82"/>
    <mergeCell ref="B83:D83"/>
    <mergeCell ref="B84:D84"/>
    <mergeCell ref="B85:D85"/>
  </mergeCells>
  <phoneticPr fontId="0" type="noConversion"/>
  <printOptions horizontalCentered="1" verticalCentered="1"/>
  <pageMargins left="0.75" right="0.75" top="1" bottom="1" header="0.5" footer="0.5"/>
  <pageSetup scale="86" orientation="portrait" r:id="rId1"/>
  <headerFooter alignWithMargins="0"/>
  <rowBreaks count="3" manualBreakCount="3">
    <brk id="52" max="16383" man="1"/>
    <brk id="109" max="16383" man="1"/>
    <brk id="150"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A1:AB116"/>
  <sheetViews>
    <sheetView zoomScaleNormal="100" workbookViewId="0">
      <pane xSplit="7" ySplit="3" topLeftCell="H4" activePane="bottomRight" state="frozen"/>
      <selection activeCell="L5" sqref="L5"/>
      <selection pane="topRight" activeCell="L5" sqref="L5"/>
      <selection pane="bottomLeft" activeCell="L5" sqref="L5"/>
      <selection pane="bottomRight" activeCell="L5" sqref="L5"/>
    </sheetView>
  </sheetViews>
  <sheetFormatPr baseColWidth="10" defaultColWidth="9.1640625" defaultRowHeight="13"/>
  <cols>
    <col min="1" max="1" width="1.6640625" style="190" customWidth="1"/>
    <col min="2" max="2" width="16.6640625" style="190" customWidth="1"/>
    <col min="3" max="3" width="13.83203125" style="190" customWidth="1"/>
    <col min="4" max="5" width="7" style="190" customWidth="1"/>
    <col min="6" max="7" width="8.6640625" style="190" customWidth="1"/>
    <col min="8" max="27" width="9.1640625" style="190"/>
    <col min="28" max="28" width="16.6640625" style="190" customWidth="1"/>
    <col min="29" max="16384" width="9.1640625" style="190"/>
  </cols>
  <sheetData>
    <row r="1" spans="1:28" ht="14" thickBot="1">
      <c r="A1" s="381" t="s">
        <v>1592</v>
      </c>
      <c r="G1" s="879">
        <f>+Name</f>
        <v>0</v>
      </c>
      <c r="J1" s="374" t="e">
        <f>Cover!$H$6</f>
        <v>#N/A</v>
      </c>
      <c r="S1" s="374" t="e">
        <f>Cover!$H$6</f>
        <v>#N/A</v>
      </c>
      <c r="AB1" s="374" t="e">
        <f>Cover!$H$6</f>
        <v>#N/A</v>
      </c>
    </row>
    <row r="2" spans="1:28" ht="15" thickTop="1" thickBot="1">
      <c r="B2" s="784" t="s">
        <v>755</v>
      </c>
      <c r="C2" s="785"/>
      <c r="D2" s="785"/>
      <c r="E2" s="796"/>
      <c r="F2" s="248" t="s">
        <v>449</v>
      </c>
      <c r="G2" s="249" t="s">
        <v>450</v>
      </c>
      <c r="H2" s="250">
        <v>1</v>
      </c>
      <c r="I2" s="251">
        <f t="shared" ref="I2:AA2" si="0">+H2+1</f>
        <v>2</v>
      </c>
      <c r="J2" s="251">
        <f t="shared" si="0"/>
        <v>3</v>
      </c>
      <c r="K2" s="532">
        <f t="shared" si="0"/>
        <v>4</v>
      </c>
      <c r="L2" s="250">
        <f t="shared" si="0"/>
        <v>5</v>
      </c>
      <c r="M2" s="251">
        <f t="shared" si="0"/>
        <v>6</v>
      </c>
      <c r="N2" s="251">
        <f t="shared" si="0"/>
        <v>7</v>
      </c>
      <c r="O2" s="251">
        <f t="shared" si="0"/>
        <v>8</v>
      </c>
      <c r="P2" s="251">
        <f t="shared" si="0"/>
        <v>9</v>
      </c>
      <c r="Q2" s="251">
        <f t="shared" si="0"/>
        <v>10</v>
      </c>
      <c r="R2" s="251">
        <f t="shared" si="0"/>
        <v>11</v>
      </c>
      <c r="S2" s="251">
        <f t="shared" si="0"/>
        <v>12</v>
      </c>
      <c r="T2" s="532">
        <f t="shared" si="0"/>
        <v>13</v>
      </c>
      <c r="U2" s="250">
        <f t="shared" si="0"/>
        <v>14</v>
      </c>
      <c r="V2" s="251">
        <f t="shared" si="0"/>
        <v>15</v>
      </c>
      <c r="W2" s="251">
        <f t="shared" si="0"/>
        <v>16</v>
      </c>
      <c r="X2" s="251">
        <f t="shared" si="0"/>
        <v>17</v>
      </c>
      <c r="Y2" s="251">
        <f t="shared" si="0"/>
        <v>18</v>
      </c>
      <c r="Z2" s="251">
        <f t="shared" si="0"/>
        <v>19</v>
      </c>
      <c r="AA2" s="251">
        <f t="shared" si="0"/>
        <v>20</v>
      </c>
      <c r="AB2" s="252" t="s">
        <v>1108</v>
      </c>
    </row>
    <row r="3" spans="1:28" ht="18" thickTop="1" thickBot="1">
      <c r="B3" s="786" t="s">
        <v>752</v>
      </c>
      <c r="C3" s="792"/>
      <c r="D3" s="793"/>
      <c r="E3" s="797" t="s">
        <v>1299</v>
      </c>
      <c r="F3" s="253" t="s">
        <v>1096</v>
      </c>
      <c r="G3" s="254" t="s">
        <v>451</v>
      </c>
      <c r="H3" s="255"/>
      <c r="I3" s="256"/>
      <c r="J3" s="257"/>
      <c r="K3" s="258"/>
      <c r="L3" s="255"/>
      <c r="M3" s="257"/>
      <c r="N3" s="257"/>
      <c r="O3" s="257"/>
      <c r="P3" s="257"/>
      <c r="Q3" s="257"/>
      <c r="R3" s="257"/>
      <c r="S3" s="257"/>
      <c r="T3" s="258"/>
      <c r="U3" s="255"/>
      <c r="V3" s="257"/>
      <c r="W3" s="257"/>
      <c r="X3" s="257"/>
      <c r="Y3" s="257"/>
      <c r="Z3" s="257"/>
      <c r="AA3" s="259"/>
      <c r="AB3" s="260" t="s">
        <v>1109</v>
      </c>
    </row>
    <row r="4" spans="1:28" ht="14" thickBot="1">
      <c r="B4" s="1444" t="s">
        <v>1044</v>
      </c>
      <c r="C4" s="1445"/>
      <c r="D4" s="1446"/>
      <c r="E4" s="626">
        <v>1.5</v>
      </c>
      <c r="F4" s="156"/>
      <c r="G4" s="157">
        <v>50</v>
      </c>
      <c r="H4" s="111"/>
      <c r="I4" s="112"/>
      <c r="J4" s="112"/>
      <c r="K4" s="113"/>
      <c r="L4" s="111"/>
      <c r="M4" s="112"/>
      <c r="N4" s="112"/>
      <c r="O4" s="112"/>
      <c r="P4" s="112"/>
      <c r="Q4" s="112"/>
      <c r="R4" s="112"/>
      <c r="S4" s="112"/>
      <c r="T4" s="113"/>
      <c r="U4" s="111"/>
      <c r="V4" s="112"/>
      <c r="W4" s="112"/>
      <c r="X4" s="112"/>
      <c r="Y4" s="112"/>
      <c r="Z4" s="112"/>
      <c r="AA4" s="113"/>
      <c r="AB4" s="261">
        <f>SUM(H4:AA4)</f>
        <v>0</v>
      </c>
    </row>
    <row r="5" spans="1:28" ht="14" thickBot="1">
      <c r="B5" s="1444" t="s">
        <v>1045</v>
      </c>
      <c r="C5" s="1445"/>
      <c r="D5" s="1446"/>
      <c r="E5" s="694">
        <v>2</v>
      </c>
      <c r="F5" s="158"/>
      <c r="G5" s="159">
        <v>50</v>
      </c>
      <c r="H5" s="114"/>
      <c r="I5" s="115"/>
      <c r="J5" s="115"/>
      <c r="K5" s="116"/>
      <c r="L5" s="114"/>
      <c r="M5" s="115"/>
      <c r="N5" s="115"/>
      <c r="O5" s="115"/>
      <c r="P5" s="115"/>
      <c r="Q5" s="115"/>
      <c r="R5" s="115"/>
      <c r="S5" s="115"/>
      <c r="T5" s="116"/>
      <c r="U5" s="114"/>
      <c r="V5" s="115"/>
      <c r="W5" s="115"/>
      <c r="X5" s="115"/>
      <c r="Y5" s="115"/>
      <c r="Z5" s="115"/>
      <c r="AA5" s="116"/>
      <c r="AB5" s="261">
        <f t="shared" ref="AB5:AB105" si="1">SUM(H5:AA5)</f>
        <v>0</v>
      </c>
    </row>
    <row r="6" spans="1:28" ht="14" thickBot="1">
      <c r="B6" s="1444" t="s">
        <v>1046</v>
      </c>
      <c r="C6" s="1445"/>
      <c r="D6" s="1446"/>
      <c r="E6" s="626">
        <v>2.1</v>
      </c>
      <c r="F6" s="158"/>
      <c r="G6" s="159">
        <v>50</v>
      </c>
      <c r="H6" s="114"/>
      <c r="I6" s="115"/>
      <c r="J6" s="115"/>
      <c r="K6" s="116"/>
      <c r="L6" s="114"/>
      <c r="M6" s="115"/>
      <c r="N6" s="115"/>
      <c r="O6" s="115"/>
      <c r="P6" s="115"/>
      <c r="Q6" s="115"/>
      <c r="R6" s="115"/>
      <c r="S6" s="115"/>
      <c r="T6" s="116"/>
      <c r="U6" s="114"/>
      <c r="V6" s="115"/>
      <c r="W6" s="115"/>
      <c r="X6" s="115"/>
      <c r="Y6" s="115"/>
      <c r="Z6" s="115"/>
      <c r="AA6" s="116"/>
      <c r="AB6" s="261">
        <f t="shared" si="1"/>
        <v>0</v>
      </c>
    </row>
    <row r="7" spans="1:28" ht="14" thickBot="1">
      <c r="B7" s="1444" t="s">
        <v>1047</v>
      </c>
      <c r="C7" s="1445"/>
      <c r="D7" s="1446"/>
      <c r="E7" s="626">
        <v>2.2000000000000002</v>
      </c>
      <c r="F7" s="158"/>
      <c r="G7" s="159">
        <v>50</v>
      </c>
      <c r="H7" s="114"/>
      <c r="I7" s="115"/>
      <c r="J7" s="115"/>
      <c r="K7" s="116"/>
      <c r="L7" s="114"/>
      <c r="M7" s="115"/>
      <c r="N7" s="115"/>
      <c r="O7" s="115"/>
      <c r="P7" s="115"/>
      <c r="Q7" s="115"/>
      <c r="R7" s="115"/>
      <c r="S7" s="115"/>
      <c r="T7" s="116"/>
      <c r="U7" s="114"/>
      <c r="V7" s="115"/>
      <c r="W7" s="115"/>
      <c r="X7" s="115"/>
      <c r="Y7" s="115"/>
      <c r="Z7" s="115"/>
      <c r="AA7" s="116"/>
      <c r="AB7" s="261">
        <f t="shared" si="1"/>
        <v>0</v>
      </c>
    </row>
    <row r="8" spans="1:28" ht="14" thickBot="1">
      <c r="B8" s="1444" t="s">
        <v>1048</v>
      </c>
      <c r="C8" s="1445"/>
      <c r="D8" s="1446"/>
      <c r="E8" s="626">
        <v>2.2999999999999998</v>
      </c>
      <c r="F8" s="158"/>
      <c r="G8" s="159">
        <v>25</v>
      </c>
      <c r="H8" s="114"/>
      <c r="I8" s="115"/>
      <c r="J8" s="115"/>
      <c r="K8" s="116"/>
      <c r="L8" s="114"/>
      <c r="M8" s="115"/>
      <c r="N8" s="115"/>
      <c r="O8" s="115"/>
      <c r="P8" s="115"/>
      <c r="Q8" s="115"/>
      <c r="R8" s="115"/>
      <c r="S8" s="115"/>
      <c r="T8" s="116"/>
      <c r="U8" s="114"/>
      <c r="V8" s="115"/>
      <c r="W8" s="115"/>
      <c r="X8" s="115"/>
      <c r="Y8" s="115"/>
      <c r="Z8" s="115"/>
      <c r="AA8" s="116"/>
      <c r="AB8" s="261">
        <f t="shared" si="1"/>
        <v>0</v>
      </c>
    </row>
    <row r="9" spans="1:28" ht="14" thickBot="1">
      <c r="B9" s="1444" t="s">
        <v>1049</v>
      </c>
      <c r="C9" s="1445"/>
      <c r="D9" s="1446"/>
      <c r="E9" s="626">
        <v>2.2999999999999998</v>
      </c>
      <c r="F9" s="158">
        <v>3000</v>
      </c>
      <c r="G9" s="159">
        <v>5</v>
      </c>
      <c r="H9" s="114"/>
      <c r="I9" s="115"/>
      <c r="J9" s="115"/>
      <c r="K9" s="116"/>
      <c r="L9" s="114"/>
      <c r="M9" s="115"/>
      <c r="N9" s="115"/>
      <c r="O9" s="115"/>
      <c r="P9" s="115"/>
      <c r="Q9" s="115"/>
      <c r="R9" s="115"/>
      <c r="S9" s="115"/>
      <c r="T9" s="116"/>
      <c r="U9" s="114"/>
      <c r="V9" s="115"/>
      <c r="W9" s="115"/>
      <c r="X9" s="115"/>
      <c r="Y9" s="115"/>
      <c r="Z9" s="115"/>
      <c r="AA9" s="116"/>
      <c r="AB9" s="261">
        <f t="shared" si="1"/>
        <v>0</v>
      </c>
    </row>
    <row r="10" spans="1:28" ht="14" thickBot="1">
      <c r="B10" s="1444" t="s">
        <v>1050</v>
      </c>
      <c r="C10" s="1445"/>
      <c r="D10" s="1446"/>
      <c r="E10" s="626">
        <v>2.2999999999999998</v>
      </c>
      <c r="F10" s="158"/>
      <c r="G10" s="159">
        <v>30</v>
      </c>
      <c r="H10" s="114"/>
      <c r="I10" s="115"/>
      <c r="J10" s="115"/>
      <c r="K10" s="116"/>
      <c r="L10" s="114"/>
      <c r="M10" s="115"/>
      <c r="N10" s="115"/>
      <c r="O10" s="115"/>
      <c r="P10" s="115"/>
      <c r="Q10" s="115"/>
      <c r="R10" s="115"/>
      <c r="S10" s="115"/>
      <c r="T10" s="116"/>
      <c r="U10" s="114"/>
      <c r="V10" s="115"/>
      <c r="W10" s="115"/>
      <c r="X10" s="115"/>
      <c r="Y10" s="115"/>
      <c r="Z10" s="115"/>
      <c r="AA10" s="116"/>
      <c r="AB10" s="261">
        <f t="shared" si="1"/>
        <v>0</v>
      </c>
    </row>
    <row r="11" spans="1:28" ht="14" thickBot="1">
      <c r="B11" s="1444" t="s">
        <v>1051</v>
      </c>
      <c r="C11" s="1445"/>
      <c r="D11" s="1446"/>
      <c r="E11" s="626">
        <v>2.4</v>
      </c>
      <c r="F11" s="158"/>
      <c r="G11" s="159">
        <v>30</v>
      </c>
      <c r="H11" s="114"/>
      <c r="I11" s="115"/>
      <c r="J11" s="115"/>
      <c r="K11" s="116"/>
      <c r="L11" s="114"/>
      <c r="M11" s="115"/>
      <c r="N11" s="115"/>
      <c r="O11" s="115"/>
      <c r="P11" s="115"/>
      <c r="Q11" s="115"/>
      <c r="R11" s="115"/>
      <c r="S11" s="115"/>
      <c r="T11" s="116"/>
      <c r="U11" s="114"/>
      <c r="V11" s="115"/>
      <c r="W11" s="115"/>
      <c r="X11" s="115"/>
      <c r="Y11" s="115"/>
      <c r="Z11" s="115"/>
      <c r="AA11" s="116"/>
      <c r="AB11" s="261">
        <f t="shared" si="1"/>
        <v>0</v>
      </c>
    </row>
    <row r="12" spans="1:28" ht="14" thickBot="1">
      <c r="B12" s="1444" t="s">
        <v>1052</v>
      </c>
      <c r="C12" s="1445"/>
      <c r="D12" s="1446"/>
      <c r="E12" s="626">
        <v>2.5</v>
      </c>
      <c r="F12" s="158"/>
      <c r="G12" s="159">
        <v>30</v>
      </c>
      <c r="H12" s="114"/>
      <c r="I12" s="115"/>
      <c r="J12" s="115"/>
      <c r="K12" s="116"/>
      <c r="L12" s="114"/>
      <c r="M12" s="115"/>
      <c r="N12" s="115"/>
      <c r="O12" s="115"/>
      <c r="P12" s="115"/>
      <c r="Q12" s="115"/>
      <c r="R12" s="115"/>
      <c r="S12" s="115"/>
      <c r="T12" s="116"/>
      <c r="U12" s="114"/>
      <c r="V12" s="115"/>
      <c r="W12" s="115"/>
      <c r="X12" s="115"/>
      <c r="Y12" s="115"/>
      <c r="Z12" s="115"/>
      <c r="AA12" s="116"/>
      <c r="AB12" s="261">
        <f t="shared" si="1"/>
        <v>0</v>
      </c>
    </row>
    <row r="13" spans="1:28" ht="14" thickBot="1">
      <c r="B13" s="1444" t="s">
        <v>1053</v>
      </c>
      <c r="C13" s="1445"/>
      <c r="D13" s="1446"/>
      <c r="E13" s="626">
        <v>2.6</v>
      </c>
      <c r="F13" s="158"/>
      <c r="G13" s="159">
        <v>50</v>
      </c>
      <c r="H13" s="114"/>
      <c r="I13" s="115"/>
      <c r="J13" s="115"/>
      <c r="K13" s="116"/>
      <c r="L13" s="114"/>
      <c r="M13" s="115"/>
      <c r="N13" s="115"/>
      <c r="O13" s="115"/>
      <c r="P13" s="115"/>
      <c r="Q13" s="115"/>
      <c r="R13" s="115"/>
      <c r="S13" s="115"/>
      <c r="T13" s="116"/>
      <c r="U13" s="114"/>
      <c r="V13" s="115"/>
      <c r="W13" s="115"/>
      <c r="X13" s="115"/>
      <c r="Y13" s="115"/>
      <c r="Z13" s="115"/>
      <c r="AA13" s="116"/>
      <c r="AB13" s="261">
        <f t="shared" si="1"/>
        <v>0</v>
      </c>
    </row>
    <row r="14" spans="1:28" ht="14" thickBot="1">
      <c r="B14" s="1444" t="s">
        <v>459</v>
      </c>
      <c r="C14" s="1445"/>
      <c r="D14" s="1446"/>
      <c r="E14" s="626">
        <v>2.7</v>
      </c>
      <c r="F14" s="158"/>
      <c r="G14" s="159">
        <v>6</v>
      </c>
      <c r="H14" s="114"/>
      <c r="I14" s="115"/>
      <c r="J14" s="115"/>
      <c r="K14" s="116"/>
      <c r="L14" s="114"/>
      <c r="M14" s="115"/>
      <c r="N14" s="115"/>
      <c r="O14" s="115"/>
      <c r="P14" s="115"/>
      <c r="Q14" s="115"/>
      <c r="R14" s="115"/>
      <c r="S14" s="115"/>
      <c r="T14" s="116"/>
      <c r="U14" s="114"/>
      <c r="V14" s="115"/>
      <c r="W14" s="115"/>
      <c r="X14" s="115"/>
      <c r="Y14" s="115"/>
      <c r="Z14" s="115"/>
      <c r="AA14" s="116"/>
      <c r="AB14" s="261">
        <f t="shared" si="1"/>
        <v>0</v>
      </c>
    </row>
    <row r="15" spans="1:28" ht="14" thickBot="1">
      <c r="B15" s="1444" t="s">
        <v>460</v>
      </c>
      <c r="C15" s="1445"/>
      <c r="D15" s="1446"/>
      <c r="E15" s="626">
        <v>2.7</v>
      </c>
      <c r="F15" s="158"/>
      <c r="G15" s="159">
        <v>15</v>
      </c>
      <c r="H15" s="114"/>
      <c r="I15" s="115"/>
      <c r="J15" s="115"/>
      <c r="K15" s="116"/>
      <c r="L15" s="114"/>
      <c r="M15" s="115"/>
      <c r="N15" s="115"/>
      <c r="O15" s="115"/>
      <c r="P15" s="115"/>
      <c r="Q15" s="115"/>
      <c r="R15" s="115"/>
      <c r="S15" s="115"/>
      <c r="T15" s="116"/>
      <c r="U15" s="114"/>
      <c r="V15" s="115"/>
      <c r="W15" s="115"/>
      <c r="X15" s="115"/>
      <c r="Y15" s="115"/>
      <c r="Z15" s="115"/>
      <c r="AA15" s="116"/>
      <c r="AB15" s="261">
        <f t="shared" si="1"/>
        <v>0</v>
      </c>
    </row>
    <row r="16" spans="1:28" ht="14" thickBot="1">
      <c r="B16" s="1444" t="s">
        <v>461</v>
      </c>
      <c r="C16" s="1445"/>
      <c r="D16" s="1446"/>
      <c r="E16" s="626">
        <v>2.8</v>
      </c>
      <c r="F16" s="158">
        <v>2500</v>
      </c>
      <c r="G16" s="159">
        <v>15</v>
      </c>
      <c r="H16" s="114"/>
      <c r="I16" s="115"/>
      <c r="J16" s="115"/>
      <c r="K16" s="116"/>
      <c r="L16" s="114"/>
      <c r="M16" s="115"/>
      <c r="N16" s="115"/>
      <c r="O16" s="115"/>
      <c r="P16" s="115"/>
      <c r="Q16" s="115"/>
      <c r="R16" s="115"/>
      <c r="S16" s="115"/>
      <c r="T16" s="116"/>
      <c r="U16" s="114"/>
      <c r="V16" s="115"/>
      <c r="W16" s="115"/>
      <c r="X16" s="115"/>
      <c r="Y16" s="115"/>
      <c r="Z16" s="115"/>
      <c r="AA16" s="116"/>
      <c r="AB16" s="261">
        <f t="shared" si="1"/>
        <v>0</v>
      </c>
    </row>
    <row r="17" spans="2:28" ht="14" thickBot="1">
      <c r="B17" s="1444" t="s">
        <v>462</v>
      </c>
      <c r="C17" s="1445"/>
      <c r="D17" s="1446"/>
      <c r="E17" s="626">
        <v>2.9</v>
      </c>
      <c r="F17" s="158"/>
      <c r="G17" s="159">
        <v>50</v>
      </c>
      <c r="H17" s="114"/>
      <c r="I17" s="115"/>
      <c r="J17" s="115"/>
      <c r="K17" s="116"/>
      <c r="L17" s="114"/>
      <c r="M17" s="115"/>
      <c r="N17" s="115"/>
      <c r="O17" s="115"/>
      <c r="P17" s="115"/>
      <c r="Q17" s="115"/>
      <c r="R17" s="115"/>
      <c r="S17" s="115"/>
      <c r="T17" s="116"/>
      <c r="U17" s="114"/>
      <c r="V17" s="115"/>
      <c r="W17" s="115"/>
      <c r="X17" s="115"/>
      <c r="Y17" s="115"/>
      <c r="Z17" s="115"/>
      <c r="AA17" s="116"/>
      <c r="AB17" s="261">
        <f t="shared" si="1"/>
        <v>0</v>
      </c>
    </row>
    <row r="18" spans="2:28" ht="14" thickBot="1">
      <c r="B18" s="1444" t="s">
        <v>463</v>
      </c>
      <c r="C18" s="1445"/>
      <c r="D18" s="1446"/>
      <c r="E18" s="627">
        <v>2.1</v>
      </c>
      <c r="F18" s="158"/>
      <c r="G18" s="159">
        <v>20</v>
      </c>
      <c r="H18" s="114"/>
      <c r="I18" s="115"/>
      <c r="J18" s="115"/>
      <c r="K18" s="116"/>
      <c r="L18" s="114"/>
      <c r="M18" s="115"/>
      <c r="N18" s="115"/>
      <c r="O18" s="115"/>
      <c r="P18" s="115"/>
      <c r="Q18" s="115"/>
      <c r="R18" s="115"/>
      <c r="S18" s="115"/>
      <c r="T18" s="116"/>
      <c r="U18" s="114"/>
      <c r="V18" s="115"/>
      <c r="W18" s="115"/>
      <c r="X18" s="115"/>
      <c r="Y18" s="115"/>
      <c r="Z18" s="115"/>
      <c r="AA18" s="116"/>
      <c r="AB18" s="261">
        <f t="shared" si="1"/>
        <v>0</v>
      </c>
    </row>
    <row r="19" spans="2:28" ht="14" thickBot="1">
      <c r="B19" s="1444" t="s">
        <v>464</v>
      </c>
      <c r="C19" s="1445"/>
      <c r="D19" s="1446"/>
      <c r="E19" s="627">
        <v>2.1</v>
      </c>
      <c r="F19" s="158"/>
      <c r="G19" s="159">
        <v>15</v>
      </c>
      <c r="H19" s="114"/>
      <c r="I19" s="115"/>
      <c r="J19" s="115"/>
      <c r="K19" s="116"/>
      <c r="L19" s="114"/>
      <c r="M19" s="115"/>
      <c r="N19" s="115"/>
      <c r="O19" s="115"/>
      <c r="P19" s="115"/>
      <c r="Q19" s="115"/>
      <c r="R19" s="115"/>
      <c r="S19" s="115"/>
      <c r="T19" s="116"/>
      <c r="U19" s="114"/>
      <c r="V19" s="115"/>
      <c r="W19" s="115"/>
      <c r="X19" s="115"/>
      <c r="Y19" s="115"/>
      <c r="Z19" s="115"/>
      <c r="AA19" s="116"/>
      <c r="AB19" s="261">
        <f t="shared" si="1"/>
        <v>0</v>
      </c>
    </row>
    <row r="20" spans="2:28" ht="14" thickBot="1">
      <c r="B20" s="1444" t="s">
        <v>1055</v>
      </c>
      <c r="C20" s="1445"/>
      <c r="D20" s="1446"/>
      <c r="E20" s="627">
        <v>2.1</v>
      </c>
      <c r="F20" s="158"/>
      <c r="G20" s="159">
        <v>10</v>
      </c>
      <c r="H20" s="114"/>
      <c r="I20" s="115"/>
      <c r="J20" s="115"/>
      <c r="K20" s="116"/>
      <c r="L20" s="114"/>
      <c r="M20" s="115"/>
      <c r="N20" s="115"/>
      <c r="O20" s="115"/>
      <c r="P20" s="115"/>
      <c r="Q20" s="115"/>
      <c r="R20" s="115"/>
      <c r="S20" s="115"/>
      <c r="T20" s="116"/>
      <c r="U20" s="114"/>
      <c r="V20" s="115"/>
      <c r="W20" s="115"/>
      <c r="X20" s="115"/>
      <c r="Y20" s="115"/>
      <c r="Z20" s="115"/>
      <c r="AA20" s="116"/>
      <c r="AB20" s="261">
        <f t="shared" si="1"/>
        <v>0</v>
      </c>
    </row>
    <row r="21" spans="2:28" ht="14" thickBot="1">
      <c r="B21" s="1444" t="s">
        <v>1056</v>
      </c>
      <c r="C21" s="1445"/>
      <c r="D21" s="1446"/>
      <c r="E21" s="627">
        <v>2.1</v>
      </c>
      <c r="F21" s="158"/>
      <c r="G21" s="159">
        <v>10</v>
      </c>
      <c r="H21" s="114"/>
      <c r="I21" s="115"/>
      <c r="J21" s="115"/>
      <c r="K21" s="116"/>
      <c r="L21" s="114"/>
      <c r="M21" s="115"/>
      <c r="N21" s="115"/>
      <c r="O21" s="115"/>
      <c r="P21" s="115"/>
      <c r="Q21" s="115"/>
      <c r="R21" s="115"/>
      <c r="S21" s="115"/>
      <c r="T21" s="116"/>
      <c r="U21" s="114"/>
      <c r="V21" s="115"/>
      <c r="W21" s="115"/>
      <c r="X21" s="115"/>
      <c r="Y21" s="115"/>
      <c r="Z21" s="115"/>
      <c r="AA21" s="116"/>
      <c r="AB21" s="261">
        <f t="shared" si="1"/>
        <v>0</v>
      </c>
    </row>
    <row r="22" spans="2:28" ht="14" thickBot="1">
      <c r="B22" s="1444" t="s">
        <v>1057</v>
      </c>
      <c r="C22" s="1445"/>
      <c r="D22" s="1446"/>
      <c r="E22" s="627">
        <v>2.1</v>
      </c>
      <c r="F22" s="158"/>
      <c r="G22" s="159">
        <v>15</v>
      </c>
      <c r="H22" s="114"/>
      <c r="I22" s="115"/>
      <c r="J22" s="115"/>
      <c r="K22" s="116"/>
      <c r="L22" s="114"/>
      <c r="M22" s="115"/>
      <c r="N22" s="115"/>
      <c r="O22" s="115"/>
      <c r="P22" s="115"/>
      <c r="Q22" s="115"/>
      <c r="R22" s="115"/>
      <c r="S22" s="115"/>
      <c r="T22" s="116"/>
      <c r="U22" s="114"/>
      <c r="V22" s="115"/>
      <c r="W22" s="115"/>
      <c r="X22" s="115"/>
      <c r="Y22" s="115"/>
      <c r="Z22" s="115"/>
      <c r="AA22" s="116"/>
      <c r="AB22" s="261">
        <f t="shared" si="1"/>
        <v>0</v>
      </c>
    </row>
    <row r="23" spans="2:28" ht="14" thickBot="1">
      <c r="B23" s="1444" t="s">
        <v>1058</v>
      </c>
      <c r="C23" s="1445"/>
      <c r="D23" s="1446"/>
      <c r="E23" s="627">
        <v>2.1</v>
      </c>
      <c r="F23" s="158"/>
      <c r="G23" s="159">
        <v>15</v>
      </c>
      <c r="H23" s="114"/>
      <c r="I23" s="115"/>
      <c r="J23" s="115"/>
      <c r="K23" s="116"/>
      <c r="L23" s="114"/>
      <c r="M23" s="115"/>
      <c r="N23" s="115"/>
      <c r="O23" s="115"/>
      <c r="P23" s="115"/>
      <c r="Q23" s="115"/>
      <c r="R23" s="115"/>
      <c r="S23" s="115"/>
      <c r="T23" s="116"/>
      <c r="U23" s="114"/>
      <c r="V23" s="115"/>
      <c r="W23" s="115"/>
      <c r="X23" s="115"/>
      <c r="Y23" s="115"/>
      <c r="Z23" s="115"/>
      <c r="AA23" s="116"/>
      <c r="AB23" s="261">
        <f t="shared" si="1"/>
        <v>0</v>
      </c>
    </row>
    <row r="24" spans="2:28" ht="14" thickBot="1">
      <c r="B24" s="1444" t="s">
        <v>1059</v>
      </c>
      <c r="C24" s="1445"/>
      <c r="D24" s="1446"/>
      <c r="E24" s="627">
        <v>2.11</v>
      </c>
      <c r="F24" s="158"/>
      <c r="G24" s="159">
        <v>40</v>
      </c>
      <c r="H24" s="114"/>
      <c r="I24" s="115"/>
      <c r="J24" s="115"/>
      <c r="K24" s="116"/>
      <c r="L24" s="114"/>
      <c r="M24" s="115"/>
      <c r="N24" s="115"/>
      <c r="O24" s="115"/>
      <c r="P24" s="115"/>
      <c r="Q24" s="115"/>
      <c r="R24" s="115"/>
      <c r="S24" s="115"/>
      <c r="T24" s="116"/>
      <c r="U24" s="114"/>
      <c r="V24" s="115"/>
      <c r="W24" s="115"/>
      <c r="X24" s="115"/>
      <c r="Y24" s="115"/>
      <c r="Z24" s="115"/>
      <c r="AA24" s="116"/>
      <c r="AB24" s="261">
        <f t="shared" si="1"/>
        <v>0</v>
      </c>
    </row>
    <row r="25" spans="2:28" ht="14" thickBot="1">
      <c r="B25" s="1444" t="s">
        <v>1060</v>
      </c>
      <c r="C25" s="1445"/>
      <c r="D25" s="1446"/>
      <c r="E25" s="627">
        <v>2.11</v>
      </c>
      <c r="F25" s="158"/>
      <c r="G25" s="159">
        <v>5</v>
      </c>
      <c r="H25" s="114"/>
      <c r="I25" s="115"/>
      <c r="J25" s="115"/>
      <c r="K25" s="116"/>
      <c r="L25" s="114"/>
      <c r="M25" s="115"/>
      <c r="N25" s="115"/>
      <c r="O25" s="115"/>
      <c r="P25" s="115"/>
      <c r="Q25" s="115"/>
      <c r="R25" s="115"/>
      <c r="S25" s="115"/>
      <c r="T25" s="116"/>
      <c r="U25" s="114"/>
      <c r="V25" s="115"/>
      <c r="W25" s="115"/>
      <c r="X25" s="115"/>
      <c r="Y25" s="115"/>
      <c r="Z25" s="115"/>
      <c r="AA25" s="116"/>
      <c r="AB25" s="261">
        <f t="shared" si="1"/>
        <v>0</v>
      </c>
    </row>
    <row r="26" spans="2:28" ht="14" thickBot="1">
      <c r="B26" s="1444" t="s">
        <v>1061</v>
      </c>
      <c r="C26" s="1445"/>
      <c r="D26" s="1446"/>
      <c r="E26" s="627">
        <v>2.11</v>
      </c>
      <c r="F26" s="158"/>
      <c r="G26" s="159">
        <v>25</v>
      </c>
      <c r="H26" s="114"/>
      <c r="I26" s="115"/>
      <c r="J26" s="115"/>
      <c r="K26" s="116"/>
      <c r="L26" s="114"/>
      <c r="M26" s="115"/>
      <c r="N26" s="115"/>
      <c r="O26" s="115"/>
      <c r="P26" s="115"/>
      <c r="Q26" s="115"/>
      <c r="R26" s="115"/>
      <c r="S26" s="115"/>
      <c r="T26" s="116"/>
      <c r="U26" s="114"/>
      <c r="V26" s="115"/>
      <c r="W26" s="115"/>
      <c r="X26" s="115"/>
      <c r="Y26" s="115"/>
      <c r="Z26" s="115"/>
      <c r="AA26" s="116"/>
      <c r="AB26" s="261">
        <f t="shared" si="1"/>
        <v>0</v>
      </c>
    </row>
    <row r="27" spans="2:28" ht="14" thickBot="1">
      <c r="B27" s="1444" t="s">
        <v>1062</v>
      </c>
      <c r="C27" s="1445"/>
      <c r="D27" s="1446"/>
      <c r="E27" s="627">
        <v>2.11</v>
      </c>
      <c r="F27" s="158"/>
      <c r="G27" s="159">
        <v>12</v>
      </c>
      <c r="H27" s="114"/>
      <c r="I27" s="115"/>
      <c r="J27" s="115"/>
      <c r="K27" s="116"/>
      <c r="L27" s="114"/>
      <c r="M27" s="115"/>
      <c r="N27" s="115"/>
      <c r="O27" s="115"/>
      <c r="P27" s="115"/>
      <c r="Q27" s="115"/>
      <c r="R27" s="115"/>
      <c r="S27" s="115"/>
      <c r="T27" s="116"/>
      <c r="U27" s="114"/>
      <c r="V27" s="115"/>
      <c r="W27" s="115"/>
      <c r="X27" s="115"/>
      <c r="Y27" s="115"/>
      <c r="Z27" s="115"/>
      <c r="AA27" s="116"/>
      <c r="AB27" s="261">
        <f t="shared" si="1"/>
        <v>0</v>
      </c>
    </row>
    <row r="28" spans="2:28" ht="14" thickBot="1">
      <c r="B28" s="1444" t="s">
        <v>1063</v>
      </c>
      <c r="C28" s="1445"/>
      <c r="D28" s="1446"/>
      <c r="E28" s="627">
        <v>2.12</v>
      </c>
      <c r="F28" s="158"/>
      <c r="G28" s="159">
        <v>40</v>
      </c>
      <c r="H28" s="114"/>
      <c r="I28" s="115"/>
      <c r="J28" s="115"/>
      <c r="K28" s="116"/>
      <c r="L28" s="114"/>
      <c r="M28" s="115"/>
      <c r="N28" s="115"/>
      <c r="O28" s="115"/>
      <c r="P28" s="115"/>
      <c r="Q28" s="115"/>
      <c r="R28" s="115"/>
      <c r="S28" s="115"/>
      <c r="T28" s="116"/>
      <c r="U28" s="114"/>
      <c r="V28" s="115"/>
      <c r="W28" s="115"/>
      <c r="X28" s="115"/>
      <c r="Y28" s="115"/>
      <c r="Z28" s="115"/>
      <c r="AA28" s="116"/>
      <c r="AB28" s="261">
        <f t="shared" si="1"/>
        <v>0</v>
      </c>
    </row>
    <row r="29" spans="2:28" ht="14" thickBot="1">
      <c r="B29" s="1444" t="s">
        <v>1064</v>
      </c>
      <c r="C29" s="1445"/>
      <c r="D29" s="1446"/>
      <c r="E29" s="627">
        <v>2.13</v>
      </c>
      <c r="F29" s="158">
        <v>2500</v>
      </c>
      <c r="G29" s="159">
        <v>10</v>
      </c>
      <c r="H29" s="114"/>
      <c r="I29" s="115"/>
      <c r="J29" s="115"/>
      <c r="K29" s="116"/>
      <c r="L29" s="114"/>
      <c r="M29" s="115"/>
      <c r="N29" s="115"/>
      <c r="O29" s="115"/>
      <c r="P29" s="115"/>
      <c r="Q29" s="115"/>
      <c r="R29" s="115"/>
      <c r="S29" s="115"/>
      <c r="T29" s="116"/>
      <c r="U29" s="114"/>
      <c r="V29" s="115"/>
      <c r="W29" s="115"/>
      <c r="X29" s="115"/>
      <c r="Y29" s="115"/>
      <c r="Z29" s="115"/>
      <c r="AA29" s="116"/>
      <c r="AB29" s="261">
        <f t="shared" si="1"/>
        <v>0</v>
      </c>
    </row>
    <row r="30" spans="2:28" ht="14" thickBot="1">
      <c r="B30" s="1444" t="s">
        <v>1065</v>
      </c>
      <c r="C30" s="1445"/>
      <c r="D30" s="1446"/>
      <c r="E30" s="694">
        <v>3</v>
      </c>
      <c r="F30" s="158"/>
      <c r="G30" s="159">
        <v>40</v>
      </c>
      <c r="H30" s="114"/>
      <c r="I30" s="115"/>
      <c r="J30" s="115"/>
      <c r="K30" s="116"/>
      <c r="L30" s="114"/>
      <c r="M30" s="115"/>
      <c r="N30" s="115"/>
      <c r="O30" s="115"/>
      <c r="P30" s="115"/>
      <c r="Q30" s="115"/>
      <c r="R30" s="115"/>
      <c r="S30" s="115"/>
      <c r="T30" s="116"/>
      <c r="U30" s="114"/>
      <c r="V30" s="115"/>
      <c r="W30" s="115"/>
      <c r="X30" s="115"/>
      <c r="Y30" s="115"/>
      <c r="Z30" s="115"/>
      <c r="AA30" s="116"/>
      <c r="AB30" s="261">
        <f t="shared" si="1"/>
        <v>0</v>
      </c>
    </row>
    <row r="31" spans="2:28" ht="14" thickBot="1">
      <c r="B31" s="1444" t="s">
        <v>1066</v>
      </c>
      <c r="C31" s="1445"/>
      <c r="D31" s="1446"/>
      <c r="E31" s="626">
        <v>3.1</v>
      </c>
      <c r="F31" s="158"/>
      <c r="G31" s="159">
        <v>15</v>
      </c>
      <c r="H31" s="114"/>
      <c r="I31" s="115"/>
      <c r="J31" s="115"/>
      <c r="K31" s="116"/>
      <c r="L31" s="114"/>
      <c r="M31" s="115"/>
      <c r="N31" s="115"/>
      <c r="O31" s="115"/>
      <c r="P31" s="115"/>
      <c r="Q31" s="115"/>
      <c r="R31" s="115"/>
      <c r="S31" s="115"/>
      <c r="T31" s="116"/>
      <c r="U31" s="114"/>
      <c r="V31" s="115"/>
      <c r="W31" s="115"/>
      <c r="X31" s="115"/>
      <c r="Y31" s="115"/>
      <c r="Z31" s="115"/>
      <c r="AA31" s="116"/>
      <c r="AB31" s="261">
        <f t="shared" si="1"/>
        <v>0</v>
      </c>
    </row>
    <row r="32" spans="2:28" ht="14" thickBot="1">
      <c r="B32" s="1444" t="s">
        <v>1067</v>
      </c>
      <c r="C32" s="1445"/>
      <c r="D32" s="1446"/>
      <c r="E32" s="626">
        <v>3.1</v>
      </c>
      <c r="F32" s="158"/>
      <c r="G32" s="159">
        <v>40</v>
      </c>
      <c r="H32" s="114"/>
      <c r="I32" s="115"/>
      <c r="J32" s="115"/>
      <c r="K32" s="116"/>
      <c r="L32" s="114"/>
      <c r="M32" s="115"/>
      <c r="N32" s="115"/>
      <c r="O32" s="115"/>
      <c r="P32" s="115"/>
      <c r="Q32" s="115"/>
      <c r="R32" s="115"/>
      <c r="S32" s="115"/>
      <c r="T32" s="116"/>
      <c r="U32" s="114"/>
      <c r="V32" s="115"/>
      <c r="W32" s="115"/>
      <c r="X32" s="115"/>
      <c r="Y32" s="115"/>
      <c r="Z32" s="115"/>
      <c r="AA32" s="116"/>
      <c r="AB32" s="261">
        <f t="shared" si="1"/>
        <v>0</v>
      </c>
    </row>
    <row r="33" spans="2:28" ht="14" thickBot="1">
      <c r="B33" s="1444" t="s">
        <v>1068</v>
      </c>
      <c r="C33" s="1445"/>
      <c r="D33" s="1446"/>
      <c r="E33" s="626">
        <v>3.1</v>
      </c>
      <c r="F33" s="158"/>
      <c r="G33" s="159">
        <v>20</v>
      </c>
      <c r="H33" s="114"/>
      <c r="I33" s="115"/>
      <c r="J33" s="115"/>
      <c r="K33" s="116"/>
      <c r="L33" s="114"/>
      <c r="M33" s="115"/>
      <c r="N33" s="115"/>
      <c r="O33" s="115"/>
      <c r="P33" s="115"/>
      <c r="Q33" s="115"/>
      <c r="R33" s="115"/>
      <c r="S33" s="115"/>
      <c r="T33" s="116"/>
      <c r="U33" s="114"/>
      <c r="V33" s="115"/>
      <c r="W33" s="115"/>
      <c r="X33" s="115"/>
      <c r="Y33" s="115"/>
      <c r="Z33" s="115"/>
      <c r="AA33" s="116"/>
      <c r="AB33" s="261">
        <f t="shared" si="1"/>
        <v>0</v>
      </c>
    </row>
    <row r="34" spans="2:28" ht="14" thickBot="1">
      <c r="B34" s="1444" t="s">
        <v>1069</v>
      </c>
      <c r="C34" s="1445"/>
      <c r="D34" s="1446"/>
      <c r="E34" s="626">
        <v>3.1</v>
      </c>
      <c r="F34" s="158"/>
      <c r="G34" s="159">
        <v>15</v>
      </c>
      <c r="H34" s="114"/>
      <c r="I34" s="115"/>
      <c r="J34" s="115"/>
      <c r="K34" s="116"/>
      <c r="L34" s="114"/>
      <c r="M34" s="115"/>
      <c r="N34" s="115"/>
      <c r="O34" s="115"/>
      <c r="P34" s="115"/>
      <c r="Q34" s="115"/>
      <c r="R34" s="115"/>
      <c r="S34" s="115"/>
      <c r="T34" s="116"/>
      <c r="U34" s="114"/>
      <c r="V34" s="115"/>
      <c r="W34" s="115"/>
      <c r="X34" s="115"/>
      <c r="Y34" s="115"/>
      <c r="Z34" s="115"/>
      <c r="AA34" s="116"/>
      <c r="AB34" s="261">
        <f t="shared" si="1"/>
        <v>0</v>
      </c>
    </row>
    <row r="35" spans="2:28" ht="14" thickBot="1">
      <c r="B35" s="1444" t="s">
        <v>1070</v>
      </c>
      <c r="C35" s="1445"/>
      <c r="D35" s="1446"/>
      <c r="E35" s="626">
        <v>3.1</v>
      </c>
      <c r="F35" s="158"/>
      <c r="G35" s="159">
        <v>40</v>
      </c>
      <c r="H35" s="114"/>
      <c r="I35" s="115"/>
      <c r="J35" s="115"/>
      <c r="K35" s="116"/>
      <c r="L35" s="114"/>
      <c r="M35" s="115"/>
      <c r="N35" s="115"/>
      <c r="O35" s="115"/>
      <c r="P35" s="115"/>
      <c r="Q35" s="115"/>
      <c r="R35" s="115"/>
      <c r="S35" s="115"/>
      <c r="T35" s="116"/>
      <c r="U35" s="114"/>
      <c r="V35" s="115"/>
      <c r="W35" s="115"/>
      <c r="X35" s="115"/>
      <c r="Y35" s="115"/>
      <c r="Z35" s="115"/>
      <c r="AA35" s="116"/>
      <c r="AB35" s="261">
        <f t="shared" si="1"/>
        <v>0</v>
      </c>
    </row>
    <row r="36" spans="2:28" ht="14" thickBot="1">
      <c r="B36" s="1444" t="s">
        <v>1071</v>
      </c>
      <c r="C36" s="1445"/>
      <c r="D36" s="1446"/>
      <c r="E36" s="626">
        <v>3.1</v>
      </c>
      <c r="F36" s="158"/>
      <c r="G36" s="159">
        <v>15</v>
      </c>
      <c r="H36" s="114"/>
      <c r="I36" s="115"/>
      <c r="J36" s="115"/>
      <c r="K36" s="116"/>
      <c r="L36" s="114"/>
      <c r="M36" s="115"/>
      <c r="N36" s="115"/>
      <c r="O36" s="115"/>
      <c r="P36" s="115"/>
      <c r="Q36" s="115"/>
      <c r="R36" s="115"/>
      <c r="S36" s="115"/>
      <c r="T36" s="116"/>
      <c r="U36" s="114"/>
      <c r="V36" s="115"/>
      <c r="W36" s="115"/>
      <c r="X36" s="115"/>
      <c r="Y36" s="115"/>
      <c r="Z36" s="115"/>
      <c r="AA36" s="116"/>
      <c r="AB36" s="261">
        <f t="shared" si="1"/>
        <v>0</v>
      </c>
    </row>
    <row r="37" spans="2:28" ht="14" thickBot="1">
      <c r="B37" s="1444" t="s">
        <v>1072</v>
      </c>
      <c r="C37" s="1445"/>
      <c r="D37" s="1446"/>
      <c r="E37" s="626">
        <v>3.1</v>
      </c>
      <c r="F37" s="158"/>
      <c r="G37" s="159">
        <v>30</v>
      </c>
      <c r="H37" s="114"/>
      <c r="I37" s="115"/>
      <c r="J37" s="115"/>
      <c r="K37" s="116"/>
      <c r="L37" s="114"/>
      <c r="M37" s="115"/>
      <c r="N37" s="115"/>
      <c r="O37" s="115"/>
      <c r="P37" s="115"/>
      <c r="Q37" s="115"/>
      <c r="R37" s="115"/>
      <c r="S37" s="115"/>
      <c r="T37" s="116"/>
      <c r="U37" s="114"/>
      <c r="V37" s="115"/>
      <c r="W37" s="115"/>
      <c r="X37" s="115"/>
      <c r="Y37" s="115"/>
      <c r="Z37" s="115"/>
      <c r="AA37" s="116"/>
      <c r="AB37" s="261">
        <f t="shared" si="1"/>
        <v>0</v>
      </c>
    </row>
    <row r="38" spans="2:28" ht="14" thickBot="1">
      <c r="B38" s="1444" t="s">
        <v>1073</v>
      </c>
      <c r="C38" s="1445"/>
      <c r="D38" s="1446"/>
      <c r="E38" s="626">
        <v>3.1</v>
      </c>
      <c r="F38" s="158"/>
      <c r="G38" s="159">
        <v>5</v>
      </c>
      <c r="H38" s="114"/>
      <c r="I38" s="115"/>
      <c r="J38" s="115"/>
      <c r="K38" s="116"/>
      <c r="L38" s="114"/>
      <c r="M38" s="115"/>
      <c r="N38" s="115"/>
      <c r="O38" s="115"/>
      <c r="P38" s="115"/>
      <c r="Q38" s="115"/>
      <c r="R38" s="115"/>
      <c r="S38" s="115"/>
      <c r="T38" s="116"/>
      <c r="U38" s="114"/>
      <c r="V38" s="115"/>
      <c r="W38" s="115"/>
      <c r="X38" s="115"/>
      <c r="Y38" s="115"/>
      <c r="Z38" s="115"/>
      <c r="AA38" s="116"/>
      <c r="AB38" s="261">
        <f t="shared" si="1"/>
        <v>0</v>
      </c>
    </row>
    <row r="39" spans="2:28" ht="14" thickBot="1">
      <c r="B39" s="1444" t="s">
        <v>1074</v>
      </c>
      <c r="C39" s="1445"/>
      <c r="D39" s="1446"/>
      <c r="E39" s="626">
        <v>3.1</v>
      </c>
      <c r="F39" s="158"/>
      <c r="G39" s="159">
        <v>5</v>
      </c>
      <c r="H39" s="114"/>
      <c r="I39" s="115"/>
      <c r="J39" s="115"/>
      <c r="K39" s="116"/>
      <c r="L39" s="114"/>
      <c r="M39" s="115"/>
      <c r="N39" s="115"/>
      <c r="O39" s="115"/>
      <c r="P39" s="115"/>
      <c r="Q39" s="115"/>
      <c r="R39" s="115"/>
      <c r="S39" s="115"/>
      <c r="T39" s="116"/>
      <c r="U39" s="114"/>
      <c r="V39" s="115"/>
      <c r="W39" s="115"/>
      <c r="X39" s="115"/>
      <c r="Y39" s="115"/>
      <c r="Z39" s="115"/>
      <c r="AA39" s="116"/>
      <c r="AB39" s="261">
        <f t="shared" si="1"/>
        <v>0</v>
      </c>
    </row>
    <row r="40" spans="2:28" ht="14" thickBot="1">
      <c r="B40" s="1444" t="s">
        <v>1075</v>
      </c>
      <c r="C40" s="1445"/>
      <c r="D40" s="1446"/>
      <c r="E40" s="626">
        <v>3.2</v>
      </c>
      <c r="F40" s="158"/>
      <c r="G40" s="159">
        <v>30</v>
      </c>
      <c r="H40" s="114"/>
      <c r="I40" s="115"/>
      <c r="J40" s="115"/>
      <c r="K40" s="116"/>
      <c r="L40" s="114"/>
      <c r="M40" s="115"/>
      <c r="N40" s="115"/>
      <c r="O40" s="115"/>
      <c r="P40" s="115"/>
      <c r="Q40" s="115"/>
      <c r="R40" s="115"/>
      <c r="S40" s="115"/>
      <c r="T40" s="116"/>
      <c r="U40" s="114"/>
      <c r="V40" s="115"/>
      <c r="W40" s="115"/>
      <c r="X40" s="115"/>
      <c r="Y40" s="115"/>
      <c r="Z40" s="115"/>
      <c r="AA40" s="116"/>
      <c r="AB40" s="261">
        <f t="shared" si="1"/>
        <v>0</v>
      </c>
    </row>
    <row r="41" spans="2:28" ht="14" thickBot="1">
      <c r="B41" s="1444" t="s">
        <v>1076</v>
      </c>
      <c r="C41" s="1445"/>
      <c r="D41" s="1446"/>
      <c r="E41" s="626">
        <v>3.3</v>
      </c>
      <c r="F41" s="158"/>
      <c r="G41" s="159">
        <v>25</v>
      </c>
      <c r="H41" s="114"/>
      <c r="I41" s="115"/>
      <c r="J41" s="115"/>
      <c r="K41" s="116"/>
      <c r="L41" s="114"/>
      <c r="M41" s="115"/>
      <c r="N41" s="115"/>
      <c r="O41" s="115"/>
      <c r="P41" s="115"/>
      <c r="Q41" s="115"/>
      <c r="R41" s="115"/>
      <c r="S41" s="115"/>
      <c r="T41" s="116"/>
      <c r="U41" s="114"/>
      <c r="V41" s="115"/>
      <c r="W41" s="115"/>
      <c r="X41" s="115"/>
      <c r="Y41" s="115"/>
      <c r="Z41" s="115"/>
      <c r="AA41" s="116"/>
      <c r="AB41" s="261">
        <f t="shared" si="1"/>
        <v>0</v>
      </c>
    </row>
    <row r="42" spans="2:28" ht="14" thickBot="1">
      <c r="B42" s="1444" t="s">
        <v>1077</v>
      </c>
      <c r="C42" s="1445"/>
      <c r="D42" s="1446"/>
      <c r="E42" s="626">
        <v>3.3</v>
      </c>
      <c r="F42" s="158"/>
      <c r="G42" s="159">
        <v>15</v>
      </c>
      <c r="H42" s="114"/>
      <c r="I42" s="115"/>
      <c r="J42" s="115"/>
      <c r="K42" s="116"/>
      <c r="L42" s="114"/>
      <c r="M42" s="115"/>
      <c r="N42" s="115"/>
      <c r="O42" s="115"/>
      <c r="P42" s="115"/>
      <c r="Q42" s="115"/>
      <c r="R42" s="115"/>
      <c r="S42" s="115"/>
      <c r="T42" s="116"/>
      <c r="U42" s="114"/>
      <c r="V42" s="115"/>
      <c r="W42" s="115"/>
      <c r="X42" s="115"/>
      <c r="Y42" s="115"/>
      <c r="Z42" s="115"/>
      <c r="AA42" s="116"/>
      <c r="AB42" s="261">
        <f t="shared" si="1"/>
        <v>0</v>
      </c>
    </row>
    <row r="43" spans="2:28" ht="14" thickBot="1">
      <c r="B43" s="1444" t="s">
        <v>1078</v>
      </c>
      <c r="C43" s="1445"/>
      <c r="D43" s="1446"/>
      <c r="E43" s="626">
        <v>3.3</v>
      </c>
      <c r="F43" s="158"/>
      <c r="G43" s="159">
        <v>7</v>
      </c>
      <c r="H43" s="114"/>
      <c r="I43" s="115"/>
      <c r="J43" s="115"/>
      <c r="K43" s="116"/>
      <c r="L43" s="114"/>
      <c r="M43" s="115"/>
      <c r="N43" s="115"/>
      <c r="O43" s="115"/>
      <c r="P43" s="115"/>
      <c r="Q43" s="115"/>
      <c r="R43" s="115"/>
      <c r="S43" s="115"/>
      <c r="T43" s="116"/>
      <c r="U43" s="114"/>
      <c r="V43" s="115"/>
      <c r="W43" s="115"/>
      <c r="X43" s="115"/>
      <c r="Y43" s="115"/>
      <c r="Z43" s="115"/>
      <c r="AA43" s="116"/>
      <c r="AB43" s="261">
        <f t="shared" si="1"/>
        <v>0</v>
      </c>
    </row>
    <row r="44" spans="2:28" ht="14" thickBot="1">
      <c r="B44" s="1444" t="s">
        <v>636</v>
      </c>
      <c r="C44" s="1445"/>
      <c r="D44" s="1446"/>
      <c r="E44" s="626">
        <v>3.4</v>
      </c>
      <c r="F44" s="158"/>
      <c r="G44" s="159">
        <v>30</v>
      </c>
      <c r="H44" s="114"/>
      <c r="I44" s="115"/>
      <c r="J44" s="115"/>
      <c r="K44" s="116"/>
      <c r="L44" s="114"/>
      <c r="M44" s="115"/>
      <c r="N44" s="115"/>
      <c r="O44" s="115"/>
      <c r="P44" s="115"/>
      <c r="Q44" s="115"/>
      <c r="R44" s="115"/>
      <c r="S44" s="115"/>
      <c r="T44" s="116"/>
      <c r="U44" s="114"/>
      <c r="V44" s="115"/>
      <c r="W44" s="115"/>
      <c r="X44" s="115"/>
      <c r="Y44" s="115"/>
      <c r="Z44" s="115"/>
      <c r="AA44" s="116"/>
      <c r="AB44" s="261">
        <f t="shared" si="1"/>
        <v>0</v>
      </c>
    </row>
    <row r="45" spans="2:28" ht="14" thickBot="1">
      <c r="B45" s="1444" t="s">
        <v>637</v>
      </c>
      <c r="C45" s="1445"/>
      <c r="D45" s="1446"/>
      <c r="E45" s="626">
        <v>3.4</v>
      </c>
      <c r="F45" s="158"/>
      <c r="G45" s="159">
        <v>20</v>
      </c>
      <c r="H45" s="114"/>
      <c r="I45" s="115"/>
      <c r="J45" s="115"/>
      <c r="K45" s="116"/>
      <c r="L45" s="114"/>
      <c r="M45" s="115"/>
      <c r="N45" s="115"/>
      <c r="O45" s="115"/>
      <c r="P45" s="115"/>
      <c r="Q45" s="115"/>
      <c r="R45" s="115"/>
      <c r="S45" s="115"/>
      <c r="T45" s="116"/>
      <c r="U45" s="114"/>
      <c r="V45" s="115"/>
      <c r="W45" s="115"/>
      <c r="X45" s="115"/>
      <c r="Y45" s="115"/>
      <c r="Z45" s="115"/>
      <c r="AA45" s="116"/>
      <c r="AB45" s="261">
        <f t="shared" si="1"/>
        <v>0</v>
      </c>
    </row>
    <row r="46" spans="2:28" ht="14" thickBot="1">
      <c r="B46" s="1444" t="s">
        <v>638</v>
      </c>
      <c r="C46" s="1445"/>
      <c r="D46" s="1446"/>
      <c r="E46" s="626">
        <v>3.4</v>
      </c>
      <c r="F46" s="158"/>
      <c r="G46" s="159">
        <v>50</v>
      </c>
      <c r="H46" s="114"/>
      <c r="I46" s="115"/>
      <c r="J46" s="115"/>
      <c r="K46" s="116"/>
      <c r="L46" s="114"/>
      <c r="M46" s="115"/>
      <c r="N46" s="115"/>
      <c r="O46" s="115"/>
      <c r="P46" s="115"/>
      <c r="Q46" s="115"/>
      <c r="R46" s="115"/>
      <c r="S46" s="115"/>
      <c r="T46" s="116"/>
      <c r="U46" s="114"/>
      <c r="V46" s="115"/>
      <c r="W46" s="115"/>
      <c r="X46" s="115"/>
      <c r="Y46" s="115"/>
      <c r="Z46" s="115"/>
      <c r="AA46" s="116"/>
      <c r="AB46" s="261">
        <f t="shared" si="1"/>
        <v>0</v>
      </c>
    </row>
    <row r="47" spans="2:28" ht="14" thickBot="1">
      <c r="B47" s="1444" t="s">
        <v>639</v>
      </c>
      <c r="C47" s="1445"/>
      <c r="D47" s="1446"/>
      <c r="E47" s="626">
        <v>3.5</v>
      </c>
      <c r="F47" s="158"/>
      <c r="G47" s="159">
        <v>30</v>
      </c>
      <c r="H47" s="114"/>
      <c r="I47" s="115"/>
      <c r="J47" s="115"/>
      <c r="K47" s="116"/>
      <c r="L47" s="114"/>
      <c r="M47" s="115"/>
      <c r="N47" s="115"/>
      <c r="O47" s="115"/>
      <c r="P47" s="115"/>
      <c r="Q47" s="115"/>
      <c r="R47" s="115"/>
      <c r="S47" s="115"/>
      <c r="T47" s="116"/>
      <c r="U47" s="114"/>
      <c r="V47" s="115"/>
      <c r="W47" s="115"/>
      <c r="X47" s="115"/>
      <c r="Y47" s="115"/>
      <c r="Z47" s="115"/>
      <c r="AA47" s="116"/>
      <c r="AB47" s="261">
        <f t="shared" si="1"/>
        <v>0</v>
      </c>
    </row>
    <row r="48" spans="2:28" ht="14" thickBot="1">
      <c r="B48" s="1444" t="s">
        <v>640</v>
      </c>
      <c r="C48" s="1445"/>
      <c r="D48" s="1446"/>
      <c r="E48" s="694">
        <v>4</v>
      </c>
      <c r="F48" s="158"/>
      <c r="G48" s="159">
        <v>8</v>
      </c>
      <c r="H48" s="114"/>
      <c r="I48" s="115"/>
      <c r="J48" s="115"/>
      <c r="K48" s="116"/>
      <c r="L48" s="114"/>
      <c r="M48" s="115"/>
      <c r="N48" s="115"/>
      <c r="O48" s="115"/>
      <c r="P48" s="115"/>
      <c r="Q48" s="115"/>
      <c r="R48" s="115"/>
      <c r="S48" s="115"/>
      <c r="T48" s="116"/>
      <c r="U48" s="114"/>
      <c r="V48" s="115"/>
      <c r="W48" s="115"/>
      <c r="X48" s="115"/>
      <c r="Y48" s="115"/>
      <c r="Z48" s="115"/>
      <c r="AA48" s="116"/>
      <c r="AB48" s="261">
        <f t="shared" si="1"/>
        <v>0</v>
      </c>
    </row>
    <row r="49" spans="2:28" ht="14" thickBot="1">
      <c r="B49" s="1444" t="s">
        <v>641</v>
      </c>
      <c r="C49" s="1445"/>
      <c r="D49" s="1446"/>
      <c r="E49" s="626">
        <v>4.0999999999999996</v>
      </c>
      <c r="F49" s="158">
        <v>100</v>
      </c>
      <c r="G49" s="159">
        <v>8</v>
      </c>
      <c r="H49" s="114"/>
      <c r="I49" s="115"/>
      <c r="J49" s="115"/>
      <c r="K49" s="116"/>
      <c r="L49" s="114"/>
      <c r="M49" s="115"/>
      <c r="N49" s="115"/>
      <c r="O49" s="115"/>
      <c r="P49" s="115"/>
      <c r="Q49" s="115"/>
      <c r="R49" s="115"/>
      <c r="S49" s="115"/>
      <c r="T49" s="116"/>
      <c r="U49" s="114"/>
      <c r="V49" s="115"/>
      <c r="W49" s="115"/>
      <c r="X49" s="115"/>
      <c r="Y49" s="115"/>
      <c r="Z49" s="115"/>
      <c r="AA49" s="116"/>
      <c r="AB49" s="261">
        <f t="shared" si="1"/>
        <v>0</v>
      </c>
    </row>
    <row r="50" spans="2:28" ht="14" thickBot="1">
      <c r="B50" s="1444" t="s">
        <v>642</v>
      </c>
      <c r="C50" s="1445"/>
      <c r="D50" s="1446"/>
      <c r="E50" s="626">
        <v>4.2</v>
      </c>
      <c r="F50" s="158"/>
      <c r="G50" s="159">
        <v>8</v>
      </c>
      <c r="H50" s="114"/>
      <c r="I50" s="115"/>
      <c r="J50" s="115"/>
      <c r="K50" s="116"/>
      <c r="L50" s="114"/>
      <c r="M50" s="115"/>
      <c r="N50" s="115"/>
      <c r="O50" s="115"/>
      <c r="P50" s="115"/>
      <c r="Q50" s="115"/>
      <c r="R50" s="115"/>
      <c r="S50" s="115"/>
      <c r="T50" s="116"/>
      <c r="U50" s="114"/>
      <c r="V50" s="115"/>
      <c r="W50" s="115"/>
      <c r="X50" s="115"/>
      <c r="Y50" s="115"/>
      <c r="Z50" s="115"/>
      <c r="AA50" s="116"/>
      <c r="AB50" s="261">
        <f t="shared" si="1"/>
        <v>0</v>
      </c>
    </row>
    <row r="51" spans="2:28" ht="14" thickBot="1">
      <c r="B51" s="1444" t="s">
        <v>628</v>
      </c>
      <c r="C51" s="1445"/>
      <c r="D51" s="1446"/>
      <c r="E51" s="626">
        <v>4.3</v>
      </c>
      <c r="F51" s="158"/>
      <c r="G51" s="159">
        <v>7</v>
      </c>
      <c r="H51" s="114"/>
      <c r="I51" s="115"/>
      <c r="J51" s="115"/>
      <c r="K51" s="116"/>
      <c r="L51" s="114"/>
      <c r="M51" s="115"/>
      <c r="N51" s="115"/>
      <c r="O51" s="115"/>
      <c r="P51" s="115"/>
      <c r="Q51" s="115"/>
      <c r="R51" s="115"/>
      <c r="S51" s="115"/>
      <c r="T51" s="116"/>
      <c r="U51" s="114"/>
      <c r="V51" s="115"/>
      <c r="W51" s="115"/>
      <c r="X51" s="115"/>
      <c r="Y51" s="115"/>
      <c r="Z51" s="115"/>
      <c r="AA51" s="116"/>
      <c r="AB51" s="261">
        <f t="shared" si="1"/>
        <v>0</v>
      </c>
    </row>
    <row r="52" spans="2:28" ht="14" thickBot="1">
      <c r="B52" s="1444" t="s">
        <v>629</v>
      </c>
      <c r="C52" s="1445"/>
      <c r="D52" s="1446"/>
      <c r="E52" s="626">
        <v>4.3</v>
      </c>
      <c r="F52" s="158">
        <v>600</v>
      </c>
      <c r="G52" s="159">
        <v>7</v>
      </c>
      <c r="H52" s="114"/>
      <c r="I52" s="115"/>
      <c r="J52" s="115"/>
      <c r="K52" s="116"/>
      <c r="L52" s="114"/>
      <c r="M52" s="115"/>
      <c r="N52" s="115"/>
      <c r="O52" s="115"/>
      <c r="P52" s="115"/>
      <c r="Q52" s="115"/>
      <c r="R52" s="115"/>
      <c r="S52" s="115"/>
      <c r="T52" s="116"/>
      <c r="U52" s="114"/>
      <c r="V52" s="115"/>
      <c r="W52" s="115"/>
      <c r="X52" s="115"/>
      <c r="Y52" s="115"/>
      <c r="Z52" s="115"/>
      <c r="AA52" s="116"/>
      <c r="AB52" s="261">
        <f t="shared" si="1"/>
        <v>0</v>
      </c>
    </row>
    <row r="53" spans="2:28" ht="14" thickBot="1">
      <c r="B53" s="1444" t="s">
        <v>630</v>
      </c>
      <c r="C53" s="1445"/>
      <c r="D53" s="1446"/>
      <c r="E53" s="626">
        <v>4.3</v>
      </c>
      <c r="F53" s="158"/>
      <c r="G53" s="159">
        <v>15</v>
      </c>
      <c r="H53" s="114"/>
      <c r="I53" s="115"/>
      <c r="J53" s="115"/>
      <c r="K53" s="116"/>
      <c r="L53" s="114"/>
      <c r="M53" s="115"/>
      <c r="N53" s="115"/>
      <c r="O53" s="115"/>
      <c r="P53" s="115"/>
      <c r="Q53" s="115"/>
      <c r="R53" s="115"/>
      <c r="S53" s="115"/>
      <c r="T53" s="116"/>
      <c r="U53" s="114"/>
      <c r="V53" s="115"/>
      <c r="W53" s="115"/>
      <c r="X53" s="115"/>
      <c r="Y53" s="115"/>
      <c r="Z53" s="115"/>
      <c r="AA53" s="116"/>
      <c r="AB53" s="261">
        <f t="shared" si="1"/>
        <v>0</v>
      </c>
    </row>
    <row r="54" spans="2:28" ht="14" thickBot="1">
      <c r="B54" s="1444" t="s">
        <v>631</v>
      </c>
      <c r="C54" s="1445"/>
      <c r="D54" s="1446"/>
      <c r="E54" s="626">
        <v>4.3</v>
      </c>
      <c r="F54" s="158">
        <v>350</v>
      </c>
      <c r="G54" s="159">
        <v>15</v>
      </c>
      <c r="H54" s="114"/>
      <c r="I54" s="115"/>
      <c r="J54" s="115"/>
      <c r="K54" s="116"/>
      <c r="L54" s="114"/>
      <c r="M54" s="115"/>
      <c r="N54" s="115"/>
      <c r="O54" s="115"/>
      <c r="P54" s="115"/>
      <c r="Q54" s="115"/>
      <c r="R54" s="115"/>
      <c r="S54" s="115"/>
      <c r="T54" s="116"/>
      <c r="U54" s="114"/>
      <c r="V54" s="115"/>
      <c r="W54" s="115"/>
      <c r="X54" s="115"/>
      <c r="Y54" s="115"/>
      <c r="Z54" s="115"/>
      <c r="AA54" s="116"/>
      <c r="AB54" s="261">
        <f t="shared" si="1"/>
        <v>0</v>
      </c>
    </row>
    <row r="55" spans="2:28" ht="14" thickBot="1">
      <c r="B55" s="1444" t="s">
        <v>632</v>
      </c>
      <c r="C55" s="1445"/>
      <c r="D55" s="1446"/>
      <c r="E55" s="626">
        <v>4.4000000000000004</v>
      </c>
      <c r="F55" s="158">
        <v>1250</v>
      </c>
      <c r="G55" s="159">
        <v>20</v>
      </c>
      <c r="H55" s="114"/>
      <c r="I55" s="115"/>
      <c r="J55" s="115"/>
      <c r="K55" s="116"/>
      <c r="L55" s="114"/>
      <c r="M55" s="115"/>
      <c r="N55" s="115"/>
      <c r="O55" s="115"/>
      <c r="P55" s="115"/>
      <c r="Q55" s="115"/>
      <c r="R55" s="115"/>
      <c r="S55" s="115"/>
      <c r="T55" s="116"/>
      <c r="U55" s="114"/>
      <c r="V55" s="115"/>
      <c r="W55" s="115"/>
      <c r="X55" s="115"/>
      <c r="Y55" s="115"/>
      <c r="Z55" s="115"/>
      <c r="AA55" s="115"/>
      <c r="AB55" s="261">
        <f t="shared" si="1"/>
        <v>0</v>
      </c>
    </row>
    <row r="56" spans="2:28" ht="14" thickBot="1">
      <c r="B56" s="1444" t="s">
        <v>1815</v>
      </c>
      <c r="C56" s="1445"/>
      <c r="D56" s="1446"/>
      <c r="E56" s="626">
        <v>4.5</v>
      </c>
      <c r="F56" s="158">
        <v>450</v>
      </c>
      <c r="G56" s="159">
        <v>10</v>
      </c>
      <c r="H56" s="114"/>
      <c r="I56" s="115"/>
      <c r="J56" s="115"/>
      <c r="K56" s="116"/>
      <c r="L56" s="114"/>
      <c r="M56" s="115"/>
      <c r="N56" s="115"/>
      <c r="O56" s="115"/>
      <c r="P56" s="115"/>
      <c r="Q56" s="115"/>
      <c r="R56" s="115"/>
      <c r="S56" s="115"/>
      <c r="T56" s="115"/>
      <c r="U56" s="114"/>
      <c r="V56" s="115"/>
      <c r="W56" s="115"/>
      <c r="X56" s="115"/>
      <c r="Y56" s="115"/>
      <c r="Z56" s="115"/>
      <c r="AA56" s="115"/>
      <c r="AB56" s="261">
        <f t="shared" si="1"/>
        <v>0</v>
      </c>
    </row>
    <row r="57" spans="2:28" ht="14" thickBot="1">
      <c r="B57" s="1444" t="s">
        <v>1816</v>
      </c>
      <c r="C57" s="1445"/>
      <c r="D57" s="1446"/>
      <c r="E57" s="626">
        <v>4.5999999999999996</v>
      </c>
      <c r="F57" s="158">
        <v>300</v>
      </c>
      <c r="G57" s="159">
        <v>15</v>
      </c>
      <c r="H57" s="114"/>
      <c r="I57" s="115"/>
      <c r="J57" s="115"/>
      <c r="K57" s="116"/>
      <c r="L57" s="114"/>
      <c r="M57" s="115"/>
      <c r="N57" s="115"/>
      <c r="O57" s="115"/>
      <c r="P57" s="115"/>
      <c r="Q57" s="115"/>
      <c r="R57" s="115"/>
      <c r="S57" s="115"/>
      <c r="T57" s="116"/>
      <c r="U57" s="114"/>
      <c r="V57" s="115"/>
      <c r="W57" s="115"/>
      <c r="X57" s="115"/>
      <c r="Y57" s="115"/>
      <c r="Z57" s="115"/>
      <c r="AA57" s="116"/>
      <c r="AB57" s="261">
        <f t="shared" si="1"/>
        <v>0</v>
      </c>
    </row>
    <row r="58" spans="2:28" ht="14" thickBot="1">
      <c r="B58" s="1444" t="s">
        <v>1817</v>
      </c>
      <c r="C58" s="1445"/>
      <c r="D58" s="1446"/>
      <c r="E58" s="626">
        <v>4.7</v>
      </c>
      <c r="F58" s="158">
        <v>150</v>
      </c>
      <c r="G58" s="159">
        <v>15</v>
      </c>
      <c r="H58" s="114"/>
      <c r="I58" s="115"/>
      <c r="J58" s="115"/>
      <c r="K58" s="116"/>
      <c r="L58" s="114"/>
      <c r="M58" s="115"/>
      <c r="N58" s="115"/>
      <c r="O58" s="115"/>
      <c r="P58" s="115"/>
      <c r="Q58" s="115"/>
      <c r="R58" s="115"/>
      <c r="S58" s="115"/>
      <c r="T58" s="116"/>
      <c r="U58" s="114"/>
      <c r="V58" s="115"/>
      <c r="W58" s="115"/>
      <c r="X58" s="115"/>
      <c r="Y58" s="115"/>
      <c r="Z58" s="115"/>
      <c r="AA58" s="116"/>
      <c r="AB58" s="261">
        <f t="shared" si="1"/>
        <v>0</v>
      </c>
    </row>
    <row r="59" spans="2:28" ht="14" thickBot="1">
      <c r="B59" s="1444" t="s">
        <v>1818</v>
      </c>
      <c r="C59" s="1445"/>
      <c r="D59" s="1446"/>
      <c r="E59" s="626">
        <v>4.8</v>
      </c>
      <c r="F59" s="749"/>
      <c r="G59" s="750">
        <v>10</v>
      </c>
      <c r="H59" s="751"/>
      <c r="I59" s="549"/>
      <c r="J59" s="549"/>
      <c r="K59" s="752"/>
      <c r="L59" s="751"/>
      <c r="M59" s="549"/>
      <c r="N59" s="549"/>
      <c r="O59" s="549"/>
      <c r="P59" s="549"/>
      <c r="Q59" s="549"/>
      <c r="R59" s="549"/>
      <c r="S59" s="549"/>
      <c r="T59" s="752"/>
      <c r="U59" s="751"/>
      <c r="V59" s="549"/>
      <c r="W59" s="549"/>
      <c r="X59" s="549"/>
      <c r="Y59" s="549"/>
      <c r="Z59" s="549"/>
      <c r="AA59" s="752"/>
      <c r="AB59" s="753">
        <f t="shared" si="1"/>
        <v>0</v>
      </c>
    </row>
    <row r="60" spans="2:28" ht="14" thickBot="1">
      <c r="B60" s="1444" t="s">
        <v>1819</v>
      </c>
      <c r="C60" s="1445"/>
      <c r="D60" s="1446"/>
      <c r="E60" s="626">
        <v>4.8</v>
      </c>
      <c r="F60" s="158"/>
      <c r="G60" s="159">
        <v>30</v>
      </c>
      <c r="H60" s="114"/>
      <c r="I60" s="115"/>
      <c r="J60" s="115"/>
      <c r="K60" s="116"/>
      <c r="L60" s="114"/>
      <c r="M60" s="115"/>
      <c r="N60" s="115"/>
      <c r="O60" s="115"/>
      <c r="P60" s="115"/>
      <c r="Q60" s="115"/>
      <c r="R60" s="115"/>
      <c r="S60" s="115"/>
      <c r="T60" s="116"/>
      <c r="U60" s="114"/>
      <c r="V60" s="115"/>
      <c r="W60" s="115"/>
      <c r="X60" s="115"/>
      <c r="Y60" s="115"/>
      <c r="Z60" s="115"/>
      <c r="AA60" s="116"/>
      <c r="AB60" s="261">
        <f t="shared" si="1"/>
        <v>0</v>
      </c>
    </row>
    <row r="61" spans="2:28" ht="14" thickBot="1">
      <c r="B61" s="1444" t="s">
        <v>1820</v>
      </c>
      <c r="C61" s="1445"/>
      <c r="D61" s="1446"/>
      <c r="E61" s="626">
        <v>4.9000000000000004</v>
      </c>
      <c r="F61" s="158"/>
      <c r="G61" s="159">
        <v>50</v>
      </c>
      <c r="H61" s="114"/>
      <c r="I61" s="115"/>
      <c r="J61" s="115"/>
      <c r="K61" s="116"/>
      <c r="L61" s="114"/>
      <c r="M61" s="115"/>
      <c r="N61" s="115"/>
      <c r="O61" s="115"/>
      <c r="P61" s="115"/>
      <c r="Q61" s="115"/>
      <c r="R61" s="115"/>
      <c r="S61" s="115"/>
      <c r="T61" s="116"/>
      <c r="U61" s="114"/>
      <c r="V61" s="115"/>
      <c r="W61" s="115"/>
      <c r="X61" s="115"/>
      <c r="Y61" s="115"/>
      <c r="Z61" s="115"/>
      <c r="AA61" s="116"/>
      <c r="AB61" s="261">
        <f t="shared" si="1"/>
        <v>0</v>
      </c>
    </row>
    <row r="62" spans="2:28" ht="14" thickBot="1">
      <c r="B62" s="1444" t="s">
        <v>1827</v>
      </c>
      <c r="C62" s="1445"/>
      <c r="D62" s="1446"/>
      <c r="E62" s="694">
        <v>5</v>
      </c>
      <c r="F62" s="158"/>
      <c r="G62" s="159">
        <v>50</v>
      </c>
      <c r="H62" s="114"/>
      <c r="I62" s="115"/>
      <c r="J62" s="115"/>
      <c r="K62" s="116"/>
      <c r="L62" s="114"/>
      <c r="M62" s="115"/>
      <c r="N62" s="115"/>
      <c r="O62" s="115"/>
      <c r="P62" s="115"/>
      <c r="Q62" s="115"/>
      <c r="R62" s="115"/>
      <c r="S62" s="115"/>
      <c r="T62" s="116"/>
      <c r="U62" s="114"/>
      <c r="V62" s="115"/>
      <c r="W62" s="115"/>
      <c r="X62" s="115"/>
      <c r="Y62" s="115"/>
      <c r="Z62" s="115"/>
      <c r="AA62" s="116"/>
      <c r="AB62" s="261">
        <f t="shared" si="1"/>
        <v>0</v>
      </c>
    </row>
    <row r="63" spans="2:28" ht="14" thickBot="1">
      <c r="B63" s="1444" t="s">
        <v>1828</v>
      </c>
      <c r="C63" s="1445"/>
      <c r="D63" s="1446"/>
      <c r="E63" s="626">
        <v>5.0999999999999996</v>
      </c>
      <c r="F63" s="158"/>
      <c r="G63" s="159">
        <v>50</v>
      </c>
      <c r="H63" s="114"/>
      <c r="I63" s="115"/>
      <c r="J63" s="115"/>
      <c r="K63" s="116"/>
      <c r="L63" s="114"/>
      <c r="M63" s="115"/>
      <c r="N63" s="115"/>
      <c r="O63" s="115"/>
      <c r="P63" s="115"/>
      <c r="Q63" s="115"/>
      <c r="R63" s="115"/>
      <c r="S63" s="115"/>
      <c r="T63" s="116"/>
      <c r="U63" s="114"/>
      <c r="V63" s="115"/>
      <c r="W63" s="115"/>
      <c r="X63" s="115"/>
      <c r="Y63" s="115"/>
      <c r="Z63" s="115"/>
      <c r="AA63" s="116"/>
      <c r="AB63" s="261">
        <f t="shared" si="1"/>
        <v>0</v>
      </c>
    </row>
    <row r="64" spans="2:28" ht="14" thickBot="1">
      <c r="B64" s="1444" t="s">
        <v>1829</v>
      </c>
      <c r="C64" s="1445"/>
      <c r="D64" s="1446"/>
      <c r="E64" s="626">
        <v>5.2</v>
      </c>
      <c r="F64" s="158"/>
      <c r="G64" s="159">
        <v>50</v>
      </c>
      <c r="H64" s="114"/>
      <c r="I64" s="115"/>
      <c r="J64" s="115"/>
      <c r="K64" s="116"/>
      <c r="L64" s="114"/>
      <c r="M64" s="115"/>
      <c r="N64" s="115"/>
      <c r="O64" s="115"/>
      <c r="P64" s="115"/>
      <c r="Q64" s="115"/>
      <c r="R64" s="115"/>
      <c r="S64" s="115"/>
      <c r="T64" s="116"/>
      <c r="U64" s="114"/>
      <c r="V64" s="115"/>
      <c r="W64" s="115"/>
      <c r="X64" s="115"/>
      <c r="Y64" s="115"/>
      <c r="Z64" s="115"/>
      <c r="AA64" s="116"/>
      <c r="AB64" s="261">
        <f t="shared" si="1"/>
        <v>0</v>
      </c>
    </row>
    <row r="65" spans="2:28" ht="14" thickBot="1">
      <c r="B65" s="1444" t="s">
        <v>1830</v>
      </c>
      <c r="C65" s="1445"/>
      <c r="D65" s="1446"/>
      <c r="E65" s="694">
        <v>6</v>
      </c>
      <c r="F65" s="158"/>
      <c r="G65" s="159">
        <v>15</v>
      </c>
      <c r="H65" s="114"/>
      <c r="I65" s="115"/>
      <c r="J65" s="115"/>
      <c r="K65" s="116"/>
      <c r="L65" s="114"/>
      <c r="M65" s="115"/>
      <c r="N65" s="115"/>
      <c r="O65" s="115"/>
      <c r="P65" s="115"/>
      <c r="Q65" s="115"/>
      <c r="R65" s="115"/>
      <c r="S65" s="115"/>
      <c r="T65" s="116"/>
      <c r="U65" s="114"/>
      <c r="V65" s="115"/>
      <c r="W65" s="115"/>
      <c r="X65" s="115"/>
      <c r="Y65" s="115"/>
      <c r="Z65" s="115"/>
      <c r="AA65" s="116"/>
      <c r="AB65" s="261">
        <f t="shared" si="1"/>
        <v>0</v>
      </c>
    </row>
    <row r="66" spans="2:28" ht="14" thickBot="1">
      <c r="B66" s="1444" t="s">
        <v>1831</v>
      </c>
      <c r="C66" s="1445"/>
      <c r="D66" s="1446"/>
      <c r="E66" s="626">
        <v>6.1</v>
      </c>
      <c r="F66" s="158"/>
      <c r="G66" s="159">
        <v>15</v>
      </c>
      <c r="H66" s="114"/>
      <c r="I66" s="115"/>
      <c r="J66" s="115"/>
      <c r="K66" s="116"/>
      <c r="L66" s="114"/>
      <c r="M66" s="115"/>
      <c r="N66" s="115"/>
      <c r="O66" s="115"/>
      <c r="P66" s="115"/>
      <c r="Q66" s="115"/>
      <c r="R66" s="115"/>
      <c r="S66" s="115"/>
      <c r="T66" s="116"/>
      <c r="U66" s="114"/>
      <c r="V66" s="115"/>
      <c r="W66" s="115"/>
      <c r="X66" s="115"/>
      <c r="Y66" s="115"/>
      <c r="Z66" s="115"/>
      <c r="AA66" s="116"/>
      <c r="AB66" s="261">
        <f t="shared" si="1"/>
        <v>0</v>
      </c>
    </row>
    <row r="67" spans="2:28" ht="14" thickBot="1">
      <c r="B67" s="1444" t="s">
        <v>1832</v>
      </c>
      <c r="C67" s="1445"/>
      <c r="D67" s="1446"/>
      <c r="E67" s="626">
        <v>6.1</v>
      </c>
      <c r="F67" s="158"/>
      <c r="G67" s="159">
        <v>15</v>
      </c>
      <c r="H67" s="114"/>
      <c r="I67" s="115"/>
      <c r="J67" s="115"/>
      <c r="K67" s="116"/>
      <c r="L67" s="114"/>
      <c r="M67" s="115"/>
      <c r="N67" s="115"/>
      <c r="O67" s="115"/>
      <c r="P67" s="115"/>
      <c r="Q67" s="115"/>
      <c r="R67" s="115"/>
      <c r="S67" s="115"/>
      <c r="T67" s="116"/>
      <c r="U67" s="114"/>
      <c r="V67" s="115"/>
      <c r="W67" s="115"/>
      <c r="X67" s="115"/>
      <c r="Y67" s="115"/>
      <c r="Z67" s="115"/>
      <c r="AA67" s="116"/>
      <c r="AB67" s="261">
        <f t="shared" si="1"/>
        <v>0</v>
      </c>
    </row>
    <row r="68" spans="2:28" ht="14" thickBot="1">
      <c r="B68" s="1444" t="s">
        <v>1833</v>
      </c>
      <c r="C68" s="1445"/>
      <c r="D68" s="1446"/>
      <c r="E68" s="626">
        <v>6.1</v>
      </c>
      <c r="F68" s="158"/>
      <c r="G68" s="159">
        <v>15</v>
      </c>
      <c r="H68" s="114"/>
      <c r="I68" s="115"/>
      <c r="J68" s="115"/>
      <c r="K68" s="116"/>
      <c r="L68" s="114"/>
      <c r="M68" s="115"/>
      <c r="N68" s="115"/>
      <c r="O68" s="115"/>
      <c r="P68" s="115"/>
      <c r="Q68" s="115"/>
      <c r="R68" s="115"/>
      <c r="S68" s="115"/>
      <c r="T68" s="116"/>
      <c r="U68" s="114"/>
      <c r="V68" s="115"/>
      <c r="W68" s="115"/>
      <c r="X68" s="115"/>
      <c r="Y68" s="115"/>
      <c r="Z68" s="115"/>
      <c r="AA68" s="116"/>
      <c r="AB68" s="261">
        <f t="shared" si="1"/>
        <v>0</v>
      </c>
    </row>
    <row r="69" spans="2:28" ht="14" thickBot="1">
      <c r="B69" s="1444" t="s">
        <v>1834</v>
      </c>
      <c r="C69" s="1445"/>
      <c r="D69" s="1446"/>
      <c r="E69" s="626">
        <v>6.1</v>
      </c>
      <c r="F69" s="158">
        <v>750</v>
      </c>
      <c r="G69" s="159">
        <v>20</v>
      </c>
      <c r="H69" s="114"/>
      <c r="I69" s="115"/>
      <c r="J69" s="115"/>
      <c r="K69" s="116"/>
      <c r="L69" s="114"/>
      <c r="M69" s="115"/>
      <c r="N69" s="115"/>
      <c r="O69" s="115"/>
      <c r="P69" s="115"/>
      <c r="Q69" s="115"/>
      <c r="R69" s="115"/>
      <c r="S69" s="115"/>
      <c r="T69" s="116"/>
      <c r="U69" s="114"/>
      <c r="V69" s="115"/>
      <c r="W69" s="115"/>
      <c r="X69" s="115"/>
      <c r="Y69" s="115"/>
      <c r="Z69" s="115"/>
      <c r="AA69" s="115"/>
      <c r="AB69" s="261">
        <f t="shared" si="1"/>
        <v>0</v>
      </c>
    </row>
    <row r="70" spans="2:28" ht="14" thickBot="1">
      <c r="B70" s="1444" t="s">
        <v>1835</v>
      </c>
      <c r="C70" s="1445"/>
      <c r="D70" s="1446"/>
      <c r="E70" s="626">
        <v>6.2</v>
      </c>
      <c r="F70" s="158">
        <v>1000</v>
      </c>
      <c r="G70" s="159">
        <v>15</v>
      </c>
      <c r="H70" s="114"/>
      <c r="I70" s="115"/>
      <c r="J70" s="115"/>
      <c r="K70" s="116"/>
      <c r="L70" s="114"/>
      <c r="M70" s="115"/>
      <c r="N70" s="115"/>
      <c r="O70" s="115"/>
      <c r="P70" s="115"/>
      <c r="Q70" s="115"/>
      <c r="R70" s="115"/>
      <c r="S70" s="115"/>
      <c r="T70" s="116"/>
      <c r="U70" s="114"/>
      <c r="V70" s="115"/>
      <c r="W70" s="115"/>
      <c r="X70" s="115"/>
      <c r="Y70" s="115"/>
      <c r="Z70" s="115"/>
      <c r="AA70" s="116"/>
      <c r="AB70" s="261">
        <f t="shared" si="1"/>
        <v>0</v>
      </c>
    </row>
    <row r="71" spans="2:28" ht="14" thickBot="1">
      <c r="B71" s="1444" t="s">
        <v>1836</v>
      </c>
      <c r="C71" s="1445"/>
      <c r="D71" s="1446"/>
      <c r="E71" s="694">
        <v>7</v>
      </c>
      <c r="F71" s="158"/>
      <c r="G71" s="159">
        <v>40</v>
      </c>
      <c r="H71" s="114"/>
      <c r="I71" s="115"/>
      <c r="J71" s="115"/>
      <c r="K71" s="116"/>
      <c r="L71" s="114"/>
      <c r="M71" s="115"/>
      <c r="N71" s="115"/>
      <c r="O71" s="115"/>
      <c r="P71" s="115"/>
      <c r="Q71" s="115"/>
      <c r="R71" s="115"/>
      <c r="S71" s="115"/>
      <c r="T71" s="116"/>
      <c r="U71" s="114"/>
      <c r="V71" s="115"/>
      <c r="W71" s="115"/>
      <c r="X71" s="115"/>
      <c r="Y71" s="115"/>
      <c r="Z71" s="115"/>
      <c r="AA71" s="116"/>
      <c r="AB71" s="261">
        <f t="shared" si="1"/>
        <v>0</v>
      </c>
    </row>
    <row r="72" spans="2:28" ht="14" thickBot="1">
      <c r="B72" s="1444" t="s">
        <v>1837</v>
      </c>
      <c r="C72" s="1445"/>
      <c r="D72" s="1446"/>
      <c r="E72" s="626">
        <v>7.1</v>
      </c>
      <c r="F72" s="158"/>
      <c r="G72" s="159">
        <v>40</v>
      </c>
      <c r="H72" s="114"/>
      <c r="I72" s="115"/>
      <c r="J72" s="115"/>
      <c r="K72" s="116"/>
      <c r="L72" s="114"/>
      <c r="M72" s="115"/>
      <c r="N72" s="115"/>
      <c r="O72" s="115"/>
      <c r="P72" s="115"/>
      <c r="Q72" s="115"/>
      <c r="R72" s="115"/>
      <c r="S72" s="115"/>
      <c r="T72" s="116"/>
      <c r="U72" s="114"/>
      <c r="V72" s="115"/>
      <c r="W72" s="115"/>
      <c r="X72" s="115"/>
      <c r="Y72" s="115"/>
      <c r="Z72" s="115"/>
      <c r="AA72" s="116"/>
      <c r="AB72" s="261">
        <f t="shared" si="1"/>
        <v>0</v>
      </c>
    </row>
    <row r="73" spans="2:28" ht="14" thickBot="1">
      <c r="B73" s="1444" t="s">
        <v>1838</v>
      </c>
      <c r="C73" s="1445"/>
      <c r="D73" s="1446"/>
      <c r="E73" s="626">
        <v>7.2</v>
      </c>
      <c r="F73" s="158"/>
      <c r="G73" s="159">
        <v>50</v>
      </c>
      <c r="H73" s="114"/>
      <c r="I73" s="115"/>
      <c r="J73" s="115"/>
      <c r="K73" s="116"/>
      <c r="L73" s="114"/>
      <c r="M73" s="115"/>
      <c r="N73" s="115"/>
      <c r="O73" s="115"/>
      <c r="P73" s="115"/>
      <c r="Q73" s="115"/>
      <c r="R73" s="115"/>
      <c r="S73" s="115"/>
      <c r="T73" s="116"/>
      <c r="U73" s="114"/>
      <c r="V73" s="115"/>
      <c r="W73" s="115"/>
      <c r="X73" s="115"/>
      <c r="Y73" s="115"/>
      <c r="Z73" s="115"/>
      <c r="AA73" s="116"/>
      <c r="AB73" s="261">
        <f t="shared" si="1"/>
        <v>0</v>
      </c>
    </row>
    <row r="74" spans="2:28" ht="14" thickBot="1">
      <c r="B74" s="1444" t="s">
        <v>756</v>
      </c>
      <c r="C74" s="1445"/>
      <c r="D74" s="1446"/>
      <c r="E74" s="694">
        <v>8</v>
      </c>
      <c r="F74" s="158"/>
      <c r="G74" s="159">
        <v>50</v>
      </c>
      <c r="H74" s="114"/>
      <c r="I74" s="115"/>
      <c r="J74" s="115"/>
      <c r="K74" s="116"/>
      <c r="L74" s="114"/>
      <c r="M74" s="115"/>
      <c r="N74" s="115"/>
      <c r="O74" s="115"/>
      <c r="P74" s="115"/>
      <c r="Q74" s="115"/>
      <c r="R74" s="115"/>
      <c r="S74" s="115"/>
      <c r="T74" s="116"/>
      <c r="U74" s="114"/>
      <c r="V74" s="115"/>
      <c r="W74" s="115"/>
      <c r="X74" s="115"/>
      <c r="Y74" s="115"/>
      <c r="Z74" s="115"/>
      <c r="AA74" s="116"/>
      <c r="AB74" s="261">
        <f t="shared" si="1"/>
        <v>0</v>
      </c>
    </row>
    <row r="75" spans="2:28" ht="14" thickBot="1">
      <c r="B75" s="1444" t="s">
        <v>757</v>
      </c>
      <c r="C75" s="1445"/>
      <c r="D75" s="1446"/>
      <c r="E75" s="626">
        <v>8.1</v>
      </c>
      <c r="F75" s="158"/>
      <c r="G75" s="159">
        <v>50</v>
      </c>
      <c r="H75" s="114"/>
      <c r="I75" s="115"/>
      <c r="J75" s="115"/>
      <c r="K75" s="116"/>
      <c r="L75" s="114"/>
      <c r="M75" s="115"/>
      <c r="N75" s="115"/>
      <c r="O75" s="115"/>
      <c r="P75" s="115"/>
      <c r="Q75" s="115"/>
      <c r="R75" s="115"/>
      <c r="S75" s="115"/>
      <c r="T75" s="116"/>
      <c r="U75" s="114"/>
      <c r="V75" s="115"/>
      <c r="W75" s="115"/>
      <c r="X75" s="115"/>
      <c r="Y75" s="115"/>
      <c r="Z75" s="115"/>
      <c r="AA75" s="116"/>
      <c r="AB75" s="261">
        <f t="shared" si="1"/>
        <v>0</v>
      </c>
    </row>
    <row r="76" spans="2:28" ht="14" thickBot="1">
      <c r="B76" s="1444" t="s">
        <v>758</v>
      </c>
      <c r="C76" s="1445"/>
      <c r="D76" s="1446"/>
      <c r="E76" s="626">
        <v>8.1999999999999993</v>
      </c>
      <c r="F76" s="158">
        <v>150</v>
      </c>
      <c r="G76" s="159">
        <v>10</v>
      </c>
      <c r="H76" s="114"/>
      <c r="I76" s="115"/>
      <c r="J76" s="115"/>
      <c r="K76" s="116"/>
      <c r="L76" s="114"/>
      <c r="M76" s="115"/>
      <c r="N76" s="115"/>
      <c r="O76" s="115"/>
      <c r="P76" s="115"/>
      <c r="Q76" s="115"/>
      <c r="R76" s="115"/>
      <c r="S76" s="115"/>
      <c r="T76" s="115"/>
      <c r="U76" s="114"/>
      <c r="V76" s="115"/>
      <c r="W76" s="115"/>
      <c r="X76" s="115"/>
      <c r="Y76" s="115"/>
      <c r="Z76" s="115"/>
      <c r="AA76" s="115"/>
      <c r="AB76" s="261">
        <f t="shared" si="1"/>
        <v>0</v>
      </c>
    </row>
    <row r="77" spans="2:28" ht="14" thickBot="1">
      <c r="B77" s="1444" t="s">
        <v>759</v>
      </c>
      <c r="C77" s="1445"/>
      <c r="D77" s="1446"/>
      <c r="E77" s="626">
        <v>8.1999999999999993</v>
      </c>
      <c r="F77" s="158"/>
      <c r="G77" s="159">
        <v>25</v>
      </c>
      <c r="H77" s="114"/>
      <c r="I77" s="115"/>
      <c r="J77" s="115"/>
      <c r="K77" s="116"/>
      <c r="L77" s="114"/>
      <c r="M77" s="115"/>
      <c r="N77" s="115"/>
      <c r="O77" s="115"/>
      <c r="P77" s="115"/>
      <c r="Q77" s="115"/>
      <c r="R77" s="115"/>
      <c r="S77" s="115"/>
      <c r="T77" s="116"/>
      <c r="U77" s="114"/>
      <c r="V77" s="115"/>
      <c r="W77" s="115"/>
      <c r="X77" s="115"/>
      <c r="Y77" s="115"/>
      <c r="Z77" s="115"/>
      <c r="AA77" s="116"/>
      <c r="AB77" s="261">
        <f t="shared" si="1"/>
        <v>0</v>
      </c>
    </row>
    <row r="78" spans="2:28" ht="14" thickBot="1">
      <c r="B78" s="1444" t="s">
        <v>760</v>
      </c>
      <c r="C78" s="1445"/>
      <c r="D78" s="1446"/>
      <c r="E78" s="626" t="s">
        <v>20</v>
      </c>
      <c r="F78" s="158"/>
      <c r="G78" s="159">
        <v>15</v>
      </c>
      <c r="H78" s="114"/>
      <c r="I78" s="115"/>
      <c r="J78" s="115"/>
      <c r="K78" s="116"/>
      <c r="L78" s="114"/>
      <c r="M78" s="115"/>
      <c r="N78" s="115"/>
      <c r="O78" s="115"/>
      <c r="P78" s="115"/>
      <c r="Q78" s="115"/>
      <c r="R78" s="115"/>
      <c r="S78" s="115"/>
      <c r="T78" s="116"/>
      <c r="U78" s="114"/>
      <c r="V78" s="115"/>
      <c r="W78" s="115"/>
      <c r="X78" s="115"/>
      <c r="Y78" s="115"/>
      <c r="Z78" s="115"/>
      <c r="AA78" s="116"/>
      <c r="AB78" s="261">
        <f t="shared" si="1"/>
        <v>0</v>
      </c>
    </row>
    <row r="79" spans="2:28" ht="14" thickBot="1">
      <c r="B79" s="1444" t="s">
        <v>761</v>
      </c>
      <c r="C79" s="1445"/>
      <c r="D79" s="1446"/>
      <c r="E79" s="626">
        <v>8.3000000000000007</v>
      </c>
      <c r="F79" s="158"/>
      <c r="G79" s="159">
        <v>15</v>
      </c>
      <c r="H79" s="114"/>
      <c r="I79" s="115"/>
      <c r="J79" s="115"/>
      <c r="K79" s="116"/>
      <c r="L79" s="114"/>
      <c r="M79" s="115"/>
      <c r="N79" s="115"/>
      <c r="O79" s="115"/>
      <c r="P79" s="115"/>
      <c r="Q79" s="115"/>
      <c r="R79" s="115"/>
      <c r="S79" s="115"/>
      <c r="T79" s="116"/>
      <c r="U79" s="114"/>
      <c r="V79" s="115"/>
      <c r="W79" s="115"/>
      <c r="X79" s="115"/>
      <c r="Y79" s="115"/>
      <c r="Z79" s="115"/>
      <c r="AA79" s="116"/>
      <c r="AB79" s="261">
        <f t="shared" si="1"/>
        <v>0</v>
      </c>
    </row>
    <row r="80" spans="2:28" ht="14" thickBot="1">
      <c r="B80" s="1444" t="s">
        <v>762</v>
      </c>
      <c r="C80" s="1445"/>
      <c r="D80" s="1446"/>
      <c r="E80" s="626" t="s">
        <v>21</v>
      </c>
      <c r="F80" s="158"/>
      <c r="G80" s="159">
        <v>20</v>
      </c>
      <c r="H80" s="114"/>
      <c r="I80" s="115"/>
      <c r="J80" s="115"/>
      <c r="K80" s="116"/>
      <c r="L80" s="114"/>
      <c r="M80" s="115"/>
      <c r="N80" s="115"/>
      <c r="O80" s="115"/>
      <c r="P80" s="115"/>
      <c r="Q80" s="115"/>
      <c r="R80" s="115"/>
      <c r="S80" s="115"/>
      <c r="T80" s="116"/>
      <c r="U80" s="114"/>
      <c r="V80" s="115"/>
      <c r="W80" s="115"/>
      <c r="X80" s="115"/>
      <c r="Y80" s="115"/>
      <c r="Z80" s="115"/>
      <c r="AA80" s="116"/>
      <c r="AB80" s="261">
        <f t="shared" si="1"/>
        <v>0</v>
      </c>
    </row>
    <row r="81" spans="2:28" ht="14" thickBot="1">
      <c r="B81" s="1444" t="s">
        <v>763</v>
      </c>
      <c r="C81" s="1445"/>
      <c r="D81" s="1446"/>
      <c r="E81" s="626" t="s">
        <v>22</v>
      </c>
      <c r="F81" s="158"/>
      <c r="G81" s="159">
        <v>20</v>
      </c>
      <c r="H81" s="114"/>
      <c r="I81" s="115"/>
      <c r="J81" s="115"/>
      <c r="K81" s="116"/>
      <c r="L81" s="114"/>
      <c r="M81" s="115"/>
      <c r="N81" s="115"/>
      <c r="O81" s="115"/>
      <c r="P81" s="115"/>
      <c r="Q81" s="115"/>
      <c r="R81" s="115"/>
      <c r="S81" s="115"/>
      <c r="T81" s="116"/>
      <c r="U81" s="114"/>
      <c r="V81" s="115"/>
      <c r="W81" s="115"/>
      <c r="X81" s="115"/>
      <c r="Y81" s="115"/>
      <c r="Z81" s="115"/>
      <c r="AA81" s="116"/>
      <c r="AB81" s="261">
        <f t="shared" si="1"/>
        <v>0</v>
      </c>
    </row>
    <row r="82" spans="2:28" ht="14" thickBot="1">
      <c r="B82" s="1444" t="s">
        <v>764</v>
      </c>
      <c r="C82" s="1445"/>
      <c r="D82" s="1446"/>
      <c r="E82" s="626" t="s">
        <v>22</v>
      </c>
      <c r="F82" s="158"/>
      <c r="G82" s="159">
        <v>20</v>
      </c>
      <c r="H82" s="114"/>
      <c r="I82" s="115"/>
      <c r="J82" s="115"/>
      <c r="K82" s="116"/>
      <c r="L82" s="114"/>
      <c r="M82" s="115"/>
      <c r="N82" s="115"/>
      <c r="O82" s="115"/>
      <c r="P82" s="115"/>
      <c r="Q82" s="115"/>
      <c r="R82" s="115"/>
      <c r="S82" s="115"/>
      <c r="T82" s="116"/>
      <c r="U82" s="114"/>
      <c r="V82" s="115"/>
      <c r="W82" s="115"/>
      <c r="X82" s="115"/>
      <c r="Y82" s="115"/>
      <c r="Z82" s="115"/>
      <c r="AA82" s="116"/>
      <c r="AB82" s="261">
        <f t="shared" si="1"/>
        <v>0</v>
      </c>
    </row>
    <row r="83" spans="2:28" ht="14" thickBot="1">
      <c r="B83" s="1444" t="s">
        <v>765</v>
      </c>
      <c r="C83" s="1445"/>
      <c r="D83" s="1446"/>
      <c r="E83" s="626" t="s">
        <v>23</v>
      </c>
      <c r="F83" s="158"/>
      <c r="G83" s="159">
        <v>20</v>
      </c>
      <c r="H83" s="114"/>
      <c r="I83" s="115"/>
      <c r="J83" s="115"/>
      <c r="K83" s="116"/>
      <c r="L83" s="114"/>
      <c r="M83" s="115"/>
      <c r="N83" s="115"/>
      <c r="O83" s="115"/>
      <c r="P83" s="115"/>
      <c r="Q83" s="115"/>
      <c r="R83" s="115"/>
      <c r="S83" s="115"/>
      <c r="T83" s="116"/>
      <c r="U83" s="114"/>
      <c r="V83" s="115"/>
      <c r="W83" s="115"/>
      <c r="X83" s="115"/>
      <c r="Y83" s="115"/>
      <c r="Z83" s="115"/>
      <c r="AA83" s="116"/>
      <c r="AB83" s="261">
        <f t="shared" si="1"/>
        <v>0</v>
      </c>
    </row>
    <row r="84" spans="2:28" ht="14" thickBot="1">
      <c r="B84" s="1444" t="s">
        <v>766</v>
      </c>
      <c r="C84" s="1445"/>
      <c r="D84" s="1446"/>
      <c r="E84" s="626">
        <v>8.5</v>
      </c>
      <c r="F84" s="158"/>
      <c r="G84" s="159">
        <v>5</v>
      </c>
      <c r="H84" s="114"/>
      <c r="I84" s="115"/>
      <c r="J84" s="115"/>
      <c r="K84" s="116"/>
      <c r="L84" s="114"/>
      <c r="M84" s="115"/>
      <c r="N84" s="115"/>
      <c r="O84" s="115"/>
      <c r="P84" s="115"/>
      <c r="Q84" s="115"/>
      <c r="R84" s="115"/>
      <c r="S84" s="115"/>
      <c r="T84" s="116"/>
      <c r="U84" s="114"/>
      <c r="V84" s="115"/>
      <c r="W84" s="115"/>
      <c r="X84" s="115"/>
      <c r="Y84" s="115"/>
      <c r="Z84" s="115"/>
      <c r="AA84" s="116"/>
      <c r="AB84" s="261">
        <f t="shared" si="1"/>
        <v>0</v>
      </c>
    </row>
    <row r="85" spans="2:28" ht="14" thickBot="1">
      <c r="B85" s="1444" t="s">
        <v>767</v>
      </c>
      <c r="C85" s="1445"/>
      <c r="D85" s="1446"/>
      <c r="E85" s="626">
        <v>9</v>
      </c>
      <c r="F85" s="158">
        <v>1000</v>
      </c>
      <c r="G85" s="159">
        <v>20</v>
      </c>
      <c r="H85" s="114"/>
      <c r="I85" s="115"/>
      <c r="J85" s="115"/>
      <c r="K85" s="116"/>
      <c r="L85" s="114"/>
      <c r="M85" s="115"/>
      <c r="N85" s="115"/>
      <c r="O85" s="115"/>
      <c r="P85" s="115"/>
      <c r="Q85" s="115"/>
      <c r="R85" s="115"/>
      <c r="S85" s="115"/>
      <c r="T85" s="116"/>
      <c r="U85" s="114"/>
      <c r="V85" s="115"/>
      <c r="W85" s="115"/>
      <c r="X85" s="115"/>
      <c r="Y85" s="115"/>
      <c r="Z85" s="115"/>
      <c r="AA85" s="115"/>
      <c r="AB85" s="261">
        <f t="shared" si="1"/>
        <v>0</v>
      </c>
    </row>
    <row r="86" spans="2:28" ht="14" thickBot="1">
      <c r="B86" s="1444" t="s">
        <v>49</v>
      </c>
      <c r="C86" s="1445"/>
      <c r="D86" s="1446"/>
      <c r="E86" s="626">
        <v>9.1</v>
      </c>
      <c r="F86" s="158"/>
      <c r="G86" s="159">
        <v>20</v>
      </c>
      <c r="H86" s="114"/>
      <c r="I86" s="115"/>
      <c r="J86" s="115"/>
      <c r="K86" s="116"/>
      <c r="L86" s="114"/>
      <c r="M86" s="115"/>
      <c r="N86" s="115"/>
      <c r="O86" s="115"/>
      <c r="P86" s="115"/>
      <c r="Q86" s="115"/>
      <c r="R86" s="115"/>
      <c r="S86" s="115"/>
      <c r="T86" s="116"/>
      <c r="U86" s="114"/>
      <c r="V86" s="115"/>
      <c r="W86" s="115"/>
      <c r="X86" s="115"/>
      <c r="Y86" s="115"/>
      <c r="Z86" s="115"/>
      <c r="AA86" s="116"/>
      <c r="AB86" s="261">
        <f t="shared" si="1"/>
        <v>0</v>
      </c>
    </row>
    <row r="87" spans="2:28" ht="14" thickBot="1">
      <c r="B87" s="1444" t="s">
        <v>768</v>
      </c>
      <c r="C87" s="1445"/>
      <c r="D87" s="1446"/>
      <c r="E87" s="626">
        <v>9.1</v>
      </c>
      <c r="F87" s="158"/>
      <c r="G87" s="159">
        <v>20</v>
      </c>
      <c r="H87" s="114"/>
      <c r="I87" s="115"/>
      <c r="J87" s="115"/>
      <c r="K87" s="116"/>
      <c r="L87" s="114"/>
      <c r="M87" s="115"/>
      <c r="N87" s="115"/>
      <c r="O87" s="115"/>
      <c r="P87" s="115"/>
      <c r="Q87" s="115"/>
      <c r="R87" s="115"/>
      <c r="S87" s="115"/>
      <c r="T87" s="116"/>
      <c r="U87" s="114"/>
      <c r="V87" s="115"/>
      <c r="W87" s="115"/>
      <c r="X87" s="115"/>
      <c r="Y87" s="115"/>
      <c r="Z87" s="115"/>
      <c r="AA87" s="116"/>
      <c r="AB87" s="261">
        <f t="shared" si="1"/>
        <v>0</v>
      </c>
    </row>
    <row r="88" spans="2:28" ht="14" thickBot="1">
      <c r="B88" s="1444" t="s">
        <v>877</v>
      </c>
      <c r="C88" s="1445"/>
      <c r="D88" s="1446"/>
      <c r="E88" s="626">
        <v>9.1</v>
      </c>
      <c r="F88" s="158"/>
      <c r="G88" s="159">
        <v>20</v>
      </c>
      <c r="H88" s="114"/>
      <c r="I88" s="115"/>
      <c r="J88" s="115"/>
      <c r="K88" s="116"/>
      <c r="L88" s="114"/>
      <c r="M88" s="115"/>
      <c r="N88" s="115"/>
      <c r="O88" s="115"/>
      <c r="P88" s="115"/>
      <c r="Q88" s="115"/>
      <c r="R88" s="115"/>
      <c r="S88" s="115"/>
      <c r="T88" s="116"/>
      <c r="U88" s="114"/>
      <c r="V88" s="115"/>
      <c r="W88" s="115"/>
      <c r="X88" s="115"/>
      <c r="Y88" s="115"/>
      <c r="Z88" s="115"/>
      <c r="AA88" s="116"/>
      <c r="AB88" s="261">
        <f t="shared" si="1"/>
        <v>0</v>
      </c>
    </row>
    <row r="89" spans="2:28" ht="14" thickBot="1">
      <c r="B89" s="1444" t="s">
        <v>878</v>
      </c>
      <c r="C89" s="1445"/>
      <c r="D89" s="1446"/>
      <c r="E89" s="626">
        <v>9.1</v>
      </c>
      <c r="F89" s="158"/>
      <c r="G89" s="159">
        <v>20</v>
      </c>
      <c r="H89" s="114"/>
      <c r="I89" s="115"/>
      <c r="J89" s="115"/>
      <c r="K89" s="116"/>
      <c r="L89" s="114"/>
      <c r="M89" s="115"/>
      <c r="N89" s="115"/>
      <c r="O89" s="115"/>
      <c r="P89" s="115"/>
      <c r="Q89" s="115"/>
      <c r="R89" s="115"/>
      <c r="S89" s="115"/>
      <c r="T89" s="116"/>
      <c r="U89" s="114"/>
      <c r="V89" s="115"/>
      <c r="W89" s="115"/>
      <c r="X89" s="115"/>
      <c r="Y89" s="115"/>
      <c r="Z89" s="115"/>
      <c r="AA89" s="116"/>
      <c r="AB89" s="261">
        <f t="shared" si="1"/>
        <v>0</v>
      </c>
    </row>
    <row r="90" spans="2:28" ht="14" thickBot="1">
      <c r="B90" s="1444" t="s">
        <v>879</v>
      </c>
      <c r="C90" s="1445"/>
      <c r="D90" s="1446"/>
      <c r="E90" s="694">
        <v>10</v>
      </c>
      <c r="F90" s="158"/>
      <c r="G90" s="159">
        <v>40</v>
      </c>
      <c r="H90" s="114"/>
      <c r="I90" s="115"/>
      <c r="J90" s="115"/>
      <c r="K90" s="116"/>
      <c r="L90" s="114"/>
      <c r="M90" s="115"/>
      <c r="N90" s="115"/>
      <c r="O90" s="115"/>
      <c r="P90" s="115"/>
      <c r="Q90" s="115"/>
      <c r="R90" s="115"/>
      <c r="S90" s="115"/>
      <c r="T90" s="116"/>
      <c r="U90" s="114"/>
      <c r="V90" s="115"/>
      <c r="W90" s="115"/>
      <c r="X90" s="115"/>
      <c r="Y90" s="115"/>
      <c r="Z90" s="115"/>
      <c r="AA90" s="116"/>
      <c r="AB90" s="261">
        <f t="shared" si="1"/>
        <v>0</v>
      </c>
    </row>
    <row r="91" spans="2:28" ht="14" thickBot="1">
      <c r="B91" s="1444" t="s">
        <v>880</v>
      </c>
      <c r="C91" s="1445"/>
      <c r="D91" s="1446"/>
      <c r="E91" s="626">
        <v>10.1</v>
      </c>
      <c r="F91" s="158"/>
      <c r="G91" s="159">
        <v>50</v>
      </c>
      <c r="H91" s="114"/>
      <c r="I91" s="115"/>
      <c r="J91" s="115"/>
      <c r="K91" s="116"/>
      <c r="L91" s="114"/>
      <c r="M91" s="115"/>
      <c r="N91" s="115"/>
      <c r="O91" s="115"/>
      <c r="P91" s="115"/>
      <c r="Q91" s="115"/>
      <c r="R91" s="115"/>
      <c r="S91" s="115"/>
      <c r="T91" s="116"/>
      <c r="U91" s="114"/>
      <c r="V91" s="115"/>
      <c r="W91" s="115"/>
      <c r="X91" s="115"/>
      <c r="Y91" s="115"/>
      <c r="Z91" s="115"/>
      <c r="AA91" s="116"/>
      <c r="AB91" s="261">
        <f t="shared" si="1"/>
        <v>0</v>
      </c>
    </row>
    <row r="92" spans="2:28" ht="14" thickBot="1">
      <c r="B92" s="1444" t="s">
        <v>881</v>
      </c>
      <c r="C92" s="1445"/>
      <c r="D92" s="1446"/>
      <c r="E92" s="626">
        <v>10.199999999999999</v>
      </c>
      <c r="F92" s="158"/>
      <c r="G92" s="159">
        <v>10</v>
      </c>
      <c r="H92" s="114"/>
      <c r="I92" s="115"/>
      <c r="J92" s="115"/>
      <c r="K92" s="116"/>
      <c r="L92" s="114"/>
      <c r="M92" s="115"/>
      <c r="N92" s="115"/>
      <c r="O92" s="115"/>
      <c r="P92" s="115"/>
      <c r="Q92" s="115"/>
      <c r="R92" s="115"/>
      <c r="S92" s="115"/>
      <c r="T92" s="116"/>
      <c r="U92" s="114"/>
      <c r="V92" s="115"/>
      <c r="W92" s="115"/>
      <c r="X92" s="115"/>
      <c r="Y92" s="115"/>
      <c r="Z92" s="115"/>
      <c r="AA92" s="116"/>
      <c r="AB92" s="261">
        <f t="shared" si="1"/>
        <v>0</v>
      </c>
    </row>
    <row r="93" spans="2:28" ht="14" thickBot="1">
      <c r="B93" s="1444" t="s">
        <v>882</v>
      </c>
      <c r="C93" s="1445"/>
      <c r="D93" s="1446"/>
      <c r="E93" s="694">
        <v>11</v>
      </c>
      <c r="F93" s="158"/>
      <c r="G93" s="159">
        <v>15</v>
      </c>
      <c r="H93" s="114"/>
      <c r="I93" s="115"/>
      <c r="J93" s="115"/>
      <c r="K93" s="116"/>
      <c r="L93" s="114"/>
      <c r="M93" s="115"/>
      <c r="N93" s="115"/>
      <c r="O93" s="115"/>
      <c r="P93" s="115"/>
      <c r="Q93" s="115"/>
      <c r="R93" s="115"/>
      <c r="S93" s="115"/>
      <c r="T93" s="116"/>
      <c r="U93" s="114"/>
      <c r="V93" s="115"/>
      <c r="W93" s="115"/>
      <c r="X93" s="115"/>
      <c r="Y93" s="115"/>
      <c r="Z93" s="115"/>
      <c r="AA93" s="116"/>
      <c r="AB93" s="261">
        <f t="shared" si="1"/>
        <v>0</v>
      </c>
    </row>
    <row r="94" spans="2:28" ht="14" thickBot="1">
      <c r="B94" s="1444" t="s">
        <v>883</v>
      </c>
      <c r="C94" s="1445"/>
      <c r="D94" s="1446"/>
      <c r="E94" s="626">
        <v>11.1</v>
      </c>
      <c r="F94" s="158"/>
      <c r="G94" s="159">
        <v>15</v>
      </c>
      <c r="H94" s="114"/>
      <c r="I94" s="115"/>
      <c r="J94" s="115"/>
      <c r="K94" s="116"/>
      <c r="L94" s="114"/>
      <c r="M94" s="115"/>
      <c r="N94" s="115"/>
      <c r="O94" s="115"/>
      <c r="P94" s="115"/>
      <c r="Q94" s="115"/>
      <c r="R94" s="115"/>
      <c r="S94" s="115"/>
      <c r="T94" s="116"/>
      <c r="U94" s="114"/>
      <c r="V94" s="115"/>
      <c r="W94" s="115"/>
      <c r="X94" s="115"/>
      <c r="Y94" s="115"/>
      <c r="Z94" s="115"/>
      <c r="AA94" s="116"/>
      <c r="AB94" s="261">
        <f t="shared" si="1"/>
        <v>0</v>
      </c>
    </row>
    <row r="95" spans="2:28" ht="14" thickBot="1">
      <c r="B95" s="1444" t="s">
        <v>884</v>
      </c>
      <c r="C95" s="1445"/>
      <c r="D95" s="1446"/>
      <c r="E95" s="626">
        <v>11.2</v>
      </c>
      <c r="F95" s="158"/>
      <c r="G95" s="159">
        <v>15</v>
      </c>
      <c r="H95" s="114"/>
      <c r="I95" s="115"/>
      <c r="J95" s="115"/>
      <c r="K95" s="116"/>
      <c r="L95" s="114"/>
      <c r="M95" s="115"/>
      <c r="N95" s="115"/>
      <c r="O95" s="115"/>
      <c r="P95" s="115"/>
      <c r="Q95" s="115"/>
      <c r="R95" s="115"/>
      <c r="S95" s="115"/>
      <c r="T95" s="116"/>
      <c r="U95" s="114"/>
      <c r="V95" s="115"/>
      <c r="W95" s="115"/>
      <c r="X95" s="115"/>
      <c r="Y95" s="115"/>
      <c r="Z95" s="115"/>
      <c r="AA95" s="116"/>
      <c r="AB95" s="261">
        <f t="shared" si="1"/>
        <v>0</v>
      </c>
    </row>
    <row r="96" spans="2:28" ht="14" thickBot="1">
      <c r="B96" s="1444" t="s">
        <v>885</v>
      </c>
      <c r="C96" s="1445"/>
      <c r="D96" s="1446"/>
      <c r="E96" s="626">
        <v>11.3</v>
      </c>
      <c r="F96" s="158"/>
      <c r="G96" s="159">
        <v>30</v>
      </c>
      <c r="H96" s="114"/>
      <c r="I96" s="115"/>
      <c r="J96" s="115"/>
      <c r="K96" s="116"/>
      <c r="L96" s="114"/>
      <c r="M96" s="115"/>
      <c r="N96" s="115"/>
      <c r="O96" s="115"/>
      <c r="P96" s="115"/>
      <c r="Q96" s="115"/>
      <c r="R96" s="115"/>
      <c r="S96" s="115"/>
      <c r="T96" s="116"/>
      <c r="U96" s="114"/>
      <c r="V96" s="115"/>
      <c r="W96" s="115"/>
      <c r="X96" s="115"/>
      <c r="Y96" s="115"/>
      <c r="Z96" s="115"/>
      <c r="AA96" s="116"/>
      <c r="AB96" s="261">
        <f t="shared" si="1"/>
        <v>0</v>
      </c>
    </row>
    <row r="97" spans="2:28" ht="14" thickBot="1">
      <c r="B97" s="1444" t="s">
        <v>886</v>
      </c>
      <c r="C97" s="1445"/>
      <c r="D97" s="1446"/>
      <c r="E97" s="626">
        <v>11.4</v>
      </c>
      <c r="F97" s="158"/>
      <c r="G97" s="159">
        <v>20</v>
      </c>
      <c r="H97" s="114"/>
      <c r="I97" s="115"/>
      <c r="J97" s="115"/>
      <c r="K97" s="116"/>
      <c r="L97" s="114"/>
      <c r="M97" s="115"/>
      <c r="N97" s="115"/>
      <c r="O97" s="115"/>
      <c r="P97" s="115"/>
      <c r="Q97" s="115"/>
      <c r="R97" s="115"/>
      <c r="S97" s="115"/>
      <c r="T97" s="116"/>
      <c r="U97" s="114"/>
      <c r="V97" s="115"/>
      <c r="W97" s="115"/>
      <c r="X97" s="115"/>
      <c r="Y97" s="115"/>
      <c r="Z97" s="115"/>
      <c r="AA97" s="116"/>
      <c r="AB97" s="261">
        <f t="shared" si="1"/>
        <v>0</v>
      </c>
    </row>
    <row r="98" spans="2:28" ht="14" thickBot="1">
      <c r="B98" s="1444" t="s">
        <v>887</v>
      </c>
      <c r="C98" s="1445"/>
      <c r="D98" s="1446"/>
      <c r="E98" s="626">
        <v>11.5</v>
      </c>
      <c r="F98" s="158"/>
      <c r="G98" s="159">
        <v>25</v>
      </c>
      <c r="H98" s="114"/>
      <c r="I98" s="115"/>
      <c r="J98" s="115"/>
      <c r="K98" s="116"/>
      <c r="L98" s="114"/>
      <c r="M98" s="115"/>
      <c r="N98" s="115"/>
      <c r="O98" s="115"/>
      <c r="P98" s="115"/>
      <c r="Q98" s="115"/>
      <c r="R98" s="115"/>
      <c r="S98" s="115"/>
      <c r="T98" s="116"/>
      <c r="U98" s="114"/>
      <c r="V98" s="115"/>
      <c r="W98" s="115"/>
      <c r="X98" s="115"/>
      <c r="Y98" s="115"/>
      <c r="Z98" s="115"/>
      <c r="AA98" s="116"/>
      <c r="AB98" s="261">
        <f t="shared" si="1"/>
        <v>0</v>
      </c>
    </row>
    <row r="99" spans="2:28" ht="14" thickBot="1">
      <c r="B99" s="1444" t="s">
        <v>888</v>
      </c>
      <c r="C99" s="1445"/>
      <c r="D99" s="1446"/>
      <c r="E99" s="694">
        <v>12</v>
      </c>
      <c r="F99" s="158"/>
      <c r="G99" s="159"/>
      <c r="H99" s="114"/>
      <c r="I99" s="115"/>
      <c r="J99" s="115"/>
      <c r="K99" s="116"/>
      <c r="L99" s="114"/>
      <c r="M99" s="115"/>
      <c r="N99" s="115"/>
      <c r="O99" s="115"/>
      <c r="P99" s="115"/>
      <c r="Q99" s="115"/>
      <c r="R99" s="115"/>
      <c r="S99" s="115"/>
      <c r="T99" s="116"/>
      <c r="U99" s="114"/>
      <c r="V99" s="115"/>
      <c r="W99" s="115"/>
      <c r="X99" s="115"/>
      <c r="Y99" s="115"/>
      <c r="Z99" s="115"/>
      <c r="AA99" s="116"/>
      <c r="AB99" s="261">
        <f t="shared" si="1"/>
        <v>0</v>
      </c>
    </row>
    <row r="100" spans="2:28" ht="14" thickBot="1">
      <c r="B100" s="1444" t="s">
        <v>43</v>
      </c>
      <c r="C100" s="1445"/>
      <c r="D100" s="1446"/>
      <c r="E100" s="694">
        <v>13</v>
      </c>
      <c r="F100" s="158"/>
      <c r="G100" s="159"/>
      <c r="H100" s="114"/>
      <c r="I100" s="115"/>
      <c r="J100" s="115"/>
      <c r="K100" s="116"/>
      <c r="L100" s="114"/>
      <c r="M100" s="115"/>
      <c r="N100" s="115"/>
      <c r="O100" s="115"/>
      <c r="P100" s="115"/>
      <c r="Q100" s="115"/>
      <c r="R100" s="115"/>
      <c r="S100" s="115"/>
      <c r="T100" s="116"/>
      <c r="U100" s="114"/>
      <c r="V100" s="115"/>
      <c r="W100" s="115"/>
      <c r="X100" s="115"/>
      <c r="Y100" s="115"/>
      <c r="Z100" s="115"/>
      <c r="AA100" s="116"/>
      <c r="AB100" s="261">
        <f t="shared" si="1"/>
        <v>0</v>
      </c>
    </row>
    <row r="101" spans="2:28" ht="14" thickBot="1">
      <c r="B101" s="1444" t="s">
        <v>44</v>
      </c>
      <c r="C101" s="1445"/>
      <c r="D101" s="1446"/>
      <c r="E101" s="626">
        <v>13.1</v>
      </c>
      <c r="F101" s="158"/>
      <c r="G101" s="159">
        <v>15</v>
      </c>
      <c r="H101" s="114"/>
      <c r="I101" s="115"/>
      <c r="J101" s="115"/>
      <c r="K101" s="116"/>
      <c r="L101" s="114"/>
      <c r="M101" s="115"/>
      <c r="N101" s="115"/>
      <c r="O101" s="115"/>
      <c r="P101" s="115"/>
      <c r="Q101" s="115"/>
      <c r="R101" s="115"/>
      <c r="S101" s="115"/>
      <c r="T101" s="116"/>
      <c r="U101" s="114"/>
      <c r="V101" s="115"/>
      <c r="W101" s="115"/>
      <c r="X101" s="115"/>
      <c r="Y101" s="115"/>
      <c r="Z101" s="115"/>
      <c r="AA101" s="116"/>
      <c r="AB101" s="261">
        <f t="shared" si="1"/>
        <v>0</v>
      </c>
    </row>
    <row r="102" spans="2:28" ht="14" thickBot="1">
      <c r="B102" s="1444" t="s">
        <v>45</v>
      </c>
      <c r="C102" s="1445"/>
      <c r="D102" s="1446"/>
      <c r="E102" s="626">
        <v>13.2</v>
      </c>
      <c r="F102" s="158"/>
      <c r="G102" s="159"/>
      <c r="H102" s="114"/>
      <c r="I102" s="115"/>
      <c r="J102" s="115"/>
      <c r="K102" s="116"/>
      <c r="L102" s="114"/>
      <c r="M102" s="115"/>
      <c r="N102" s="115"/>
      <c r="O102" s="115"/>
      <c r="P102" s="115"/>
      <c r="Q102" s="115"/>
      <c r="R102" s="115"/>
      <c r="S102" s="115"/>
      <c r="T102" s="116"/>
      <c r="U102" s="114"/>
      <c r="V102" s="115"/>
      <c r="W102" s="115"/>
      <c r="X102" s="115"/>
      <c r="Y102" s="115"/>
      <c r="Z102" s="115"/>
      <c r="AA102" s="116"/>
      <c r="AB102" s="261">
        <f t="shared" si="1"/>
        <v>0</v>
      </c>
    </row>
    <row r="103" spans="2:28" ht="14" thickBot="1">
      <c r="B103" s="1415" t="s">
        <v>1909</v>
      </c>
      <c r="C103" s="1416"/>
      <c r="D103" s="1417"/>
      <c r="E103" s="794"/>
      <c r="F103" s="158"/>
      <c r="G103" s="159"/>
      <c r="H103" s="114"/>
      <c r="I103" s="115"/>
      <c r="J103" s="115"/>
      <c r="K103" s="116"/>
      <c r="L103" s="114"/>
      <c r="M103" s="115"/>
      <c r="N103" s="115"/>
      <c r="O103" s="115"/>
      <c r="P103" s="115"/>
      <c r="Q103" s="115"/>
      <c r="R103" s="115"/>
      <c r="S103" s="115"/>
      <c r="T103" s="116"/>
      <c r="U103" s="114"/>
      <c r="V103" s="115"/>
      <c r="W103" s="115"/>
      <c r="X103" s="115"/>
      <c r="Y103" s="115"/>
      <c r="Z103" s="115"/>
      <c r="AA103" s="116"/>
      <c r="AB103" s="261">
        <f t="shared" si="1"/>
        <v>0</v>
      </c>
    </row>
    <row r="104" spans="2:28" ht="14" thickBot="1">
      <c r="B104" s="1415" t="s">
        <v>1909</v>
      </c>
      <c r="C104" s="1416"/>
      <c r="D104" s="1417"/>
      <c r="E104" s="794"/>
      <c r="F104" s="158"/>
      <c r="G104" s="159"/>
      <c r="H104" s="114"/>
      <c r="I104" s="115"/>
      <c r="J104" s="115"/>
      <c r="K104" s="116"/>
      <c r="L104" s="114"/>
      <c r="M104" s="115"/>
      <c r="N104" s="115"/>
      <c r="O104" s="115"/>
      <c r="P104" s="115"/>
      <c r="Q104" s="115"/>
      <c r="R104" s="115"/>
      <c r="S104" s="115"/>
      <c r="T104" s="116"/>
      <c r="U104" s="114"/>
      <c r="V104" s="115"/>
      <c r="W104" s="115"/>
      <c r="X104" s="115"/>
      <c r="Y104" s="115"/>
      <c r="Z104" s="115"/>
      <c r="AA104" s="116"/>
      <c r="AB104" s="261">
        <f t="shared" si="1"/>
        <v>0</v>
      </c>
    </row>
    <row r="105" spans="2:28" ht="14" thickBot="1">
      <c r="B105" s="1415" t="s">
        <v>1909</v>
      </c>
      <c r="C105" s="1416"/>
      <c r="D105" s="1417"/>
      <c r="E105" s="795"/>
      <c r="F105" s="160"/>
      <c r="G105" s="161"/>
      <c r="H105" s="117"/>
      <c r="I105" s="118"/>
      <c r="J105" s="118"/>
      <c r="K105" s="119"/>
      <c r="L105" s="117"/>
      <c r="M105" s="118"/>
      <c r="N105" s="118"/>
      <c r="O105" s="118"/>
      <c r="P105" s="118"/>
      <c r="Q105" s="118"/>
      <c r="R105" s="118"/>
      <c r="S105" s="118"/>
      <c r="T105" s="119"/>
      <c r="U105" s="117"/>
      <c r="V105" s="118"/>
      <c r="W105" s="118"/>
      <c r="X105" s="118"/>
      <c r="Y105" s="118"/>
      <c r="Z105" s="118"/>
      <c r="AA105" s="119"/>
      <c r="AB105" s="261">
        <f t="shared" si="1"/>
        <v>0</v>
      </c>
    </row>
    <row r="106" spans="2:28" ht="15" thickTop="1" thickBot="1">
      <c r="B106" s="787" t="s">
        <v>46</v>
      </c>
      <c r="C106" s="788"/>
      <c r="D106" s="788"/>
      <c r="E106" s="788"/>
      <c r="F106" s="262"/>
      <c r="G106" s="263"/>
      <c r="H106" s="264">
        <f>SUM(H3:H105)</f>
        <v>0</v>
      </c>
      <c r="I106" s="265">
        <f t="shared" ref="I106:AB106" si="2">SUM(I3:I105)</f>
        <v>0</v>
      </c>
      <c r="J106" s="265">
        <f t="shared" si="2"/>
        <v>0</v>
      </c>
      <c r="K106" s="266">
        <f t="shared" si="2"/>
        <v>0</v>
      </c>
      <c r="L106" s="264">
        <f t="shared" si="2"/>
        <v>0</v>
      </c>
      <c r="M106" s="265">
        <f t="shared" si="2"/>
        <v>0</v>
      </c>
      <c r="N106" s="265">
        <f t="shared" si="2"/>
        <v>0</v>
      </c>
      <c r="O106" s="265">
        <f t="shared" si="2"/>
        <v>0</v>
      </c>
      <c r="P106" s="265">
        <f t="shared" si="2"/>
        <v>0</v>
      </c>
      <c r="Q106" s="265">
        <f t="shared" si="2"/>
        <v>0</v>
      </c>
      <c r="R106" s="265">
        <f t="shared" si="2"/>
        <v>0</v>
      </c>
      <c r="S106" s="265">
        <f t="shared" si="2"/>
        <v>0</v>
      </c>
      <c r="T106" s="266">
        <f t="shared" si="2"/>
        <v>0</v>
      </c>
      <c r="U106" s="264">
        <f t="shared" si="2"/>
        <v>0</v>
      </c>
      <c r="V106" s="265">
        <f t="shared" si="2"/>
        <v>0</v>
      </c>
      <c r="W106" s="265">
        <f t="shared" si="2"/>
        <v>0</v>
      </c>
      <c r="X106" s="265">
        <f t="shared" si="2"/>
        <v>0</v>
      </c>
      <c r="Y106" s="265">
        <f t="shared" si="2"/>
        <v>0</v>
      </c>
      <c r="Z106" s="265">
        <f t="shared" si="2"/>
        <v>0</v>
      </c>
      <c r="AA106" s="266">
        <f t="shared" si="2"/>
        <v>0</v>
      </c>
      <c r="AB106" s="267">
        <f t="shared" si="2"/>
        <v>0</v>
      </c>
    </row>
    <row r="107" spans="2:28" ht="15" thickTop="1" thickBot="1">
      <c r="B107" s="787" t="s">
        <v>47</v>
      </c>
      <c r="C107" s="788"/>
      <c r="D107" s="788"/>
      <c r="E107" s="788"/>
      <c r="F107" s="268"/>
      <c r="G107" s="269"/>
      <c r="H107" s="270">
        <v>1</v>
      </c>
      <c r="I107" s="271">
        <v>1.0249999999999999</v>
      </c>
      <c r="J107" s="271">
        <v>1.0506249999999999</v>
      </c>
      <c r="K107" s="272">
        <v>1.0768906249999999</v>
      </c>
      <c r="L107" s="270">
        <v>1.1038128906249998</v>
      </c>
      <c r="M107" s="271">
        <v>1.1314082128906247</v>
      </c>
      <c r="N107" s="271">
        <v>1.1596934182128902</v>
      </c>
      <c r="O107" s="271">
        <v>1.1886857536682123</v>
      </c>
      <c r="P107" s="271">
        <v>1.2184028975099175</v>
      </c>
      <c r="Q107" s="271">
        <v>1.2488629699476652</v>
      </c>
      <c r="R107" s="271">
        <v>1.2800845441963566</v>
      </c>
      <c r="S107" s="271">
        <v>1.3120866578012655</v>
      </c>
      <c r="T107" s="272">
        <v>1.3448888242462971</v>
      </c>
      <c r="U107" s="270">
        <v>1.3785110448524545</v>
      </c>
      <c r="V107" s="271">
        <v>1.4129738209737657</v>
      </c>
      <c r="W107" s="271">
        <v>1.4482981664981096</v>
      </c>
      <c r="X107" s="271">
        <v>1.4845056206605622</v>
      </c>
      <c r="Y107" s="271">
        <v>1.5216182611770761</v>
      </c>
      <c r="Z107" s="271">
        <v>1.5596587177065029</v>
      </c>
      <c r="AA107" s="272">
        <v>1.5986501856491653</v>
      </c>
      <c r="AB107" s="273"/>
    </row>
    <row r="108" spans="2:28" ht="15" thickTop="1" thickBot="1">
      <c r="B108" s="789" t="s">
        <v>48</v>
      </c>
      <c r="C108" s="790"/>
      <c r="D108" s="791"/>
      <c r="E108" s="788"/>
      <c r="F108" s="262"/>
      <c r="G108" s="263"/>
      <c r="H108" s="264">
        <f>+H107*H106</f>
        <v>0</v>
      </c>
      <c r="I108" s="265">
        <f t="shared" ref="I108:AA108" si="3">+I107*I106</f>
        <v>0</v>
      </c>
      <c r="J108" s="265">
        <f t="shared" si="3"/>
        <v>0</v>
      </c>
      <c r="K108" s="266">
        <f t="shared" si="3"/>
        <v>0</v>
      </c>
      <c r="L108" s="264">
        <f t="shared" si="3"/>
        <v>0</v>
      </c>
      <c r="M108" s="265">
        <f t="shared" si="3"/>
        <v>0</v>
      </c>
      <c r="N108" s="265">
        <f t="shared" si="3"/>
        <v>0</v>
      </c>
      <c r="O108" s="265">
        <f t="shared" si="3"/>
        <v>0</v>
      </c>
      <c r="P108" s="265">
        <f t="shared" si="3"/>
        <v>0</v>
      </c>
      <c r="Q108" s="265">
        <f t="shared" si="3"/>
        <v>0</v>
      </c>
      <c r="R108" s="265">
        <f t="shared" si="3"/>
        <v>0</v>
      </c>
      <c r="S108" s="265">
        <f t="shared" si="3"/>
        <v>0</v>
      </c>
      <c r="T108" s="266">
        <f t="shared" si="3"/>
        <v>0</v>
      </c>
      <c r="U108" s="264">
        <f t="shared" si="3"/>
        <v>0</v>
      </c>
      <c r="V108" s="265">
        <f t="shared" si="3"/>
        <v>0</v>
      </c>
      <c r="W108" s="265">
        <f t="shared" si="3"/>
        <v>0</v>
      </c>
      <c r="X108" s="265">
        <f t="shared" si="3"/>
        <v>0</v>
      </c>
      <c r="Y108" s="265">
        <f t="shared" si="3"/>
        <v>0</v>
      </c>
      <c r="Z108" s="265">
        <f t="shared" si="3"/>
        <v>0</v>
      </c>
      <c r="AA108" s="266">
        <f t="shared" si="3"/>
        <v>0</v>
      </c>
      <c r="AB108" s="274">
        <f>SUM(F108:AA108)</f>
        <v>0</v>
      </c>
    </row>
    <row r="109" spans="2:28" ht="14" thickTop="1">
      <c r="F109" s="275"/>
      <c r="G109" s="275"/>
      <c r="J109" s="374" t="e">
        <f>Cover!$H$6</f>
        <v>#N/A</v>
      </c>
      <c r="S109" s="374" t="e">
        <f>Cover!$H$6</f>
        <v>#N/A</v>
      </c>
      <c r="AB109" s="374" t="e">
        <f>Cover!$H$6</f>
        <v>#N/A</v>
      </c>
    </row>
    <row r="110" spans="2:28">
      <c r="F110" s="275"/>
      <c r="G110" s="275"/>
    </row>
    <row r="111" spans="2:28">
      <c r="F111" s="275"/>
      <c r="G111" s="275"/>
    </row>
    <row r="112" spans="2:28">
      <c r="F112" s="275"/>
      <c r="G112" s="275"/>
    </row>
    <row r="113" spans="6:7">
      <c r="F113" s="275"/>
      <c r="G113" s="275"/>
    </row>
    <row r="114" spans="6:7">
      <c r="F114" s="275"/>
      <c r="G114" s="275"/>
    </row>
    <row r="115" spans="6:7">
      <c r="F115" s="275"/>
      <c r="G115" s="275"/>
    </row>
    <row r="116" spans="6:7">
      <c r="F116" s="275"/>
      <c r="G116" s="275"/>
    </row>
  </sheetData>
  <sheetProtection password="CCBC" sheet="1" objects="1" scenarios="1"/>
  <mergeCells count="102">
    <mergeCell ref="B22:D22"/>
    <mergeCell ref="B41:D41"/>
    <mergeCell ref="B15:D15"/>
    <mergeCell ref="B16:D16"/>
    <mergeCell ref="B38:D38"/>
    <mergeCell ref="B39:D39"/>
    <mergeCell ref="B6:D6"/>
    <mergeCell ref="B4:D4"/>
    <mergeCell ref="B5:D5"/>
    <mergeCell ref="B11:D11"/>
    <mergeCell ref="B9:D9"/>
    <mergeCell ref="B10:D10"/>
    <mergeCell ref="B12:D12"/>
    <mergeCell ref="B13:D13"/>
    <mergeCell ref="B17:D17"/>
    <mergeCell ref="B7:D7"/>
    <mergeCell ref="B8:D8"/>
    <mergeCell ref="B35:D35"/>
    <mergeCell ref="B36:D36"/>
    <mergeCell ref="B104:D104"/>
    <mergeCell ref="B105:D105"/>
    <mergeCell ref="B14:D14"/>
    <mergeCell ref="B30:D30"/>
    <mergeCell ref="B27:D27"/>
    <mergeCell ref="B28:D28"/>
    <mergeCell ref="B29:D29"/>
    <mergeCell ref="B32:D32"/>
    <mergeCell ref="B33:D33"/>
    <mergeCell ref="B34:D34"/>
    <mergeCell ref="B103:D103"/>
    <mergeCell ref="B20:D20"/>
    <mergeCell ref="B25:D25"/>
    <mergeCell ref="B26:D26"/>
    <mergeCell ref="B31:D31"/>
    <mergeCell ref="B19:D19"/>
    <mergeCell ref="B23:D23"/>
    <mergeCell ref="B24:D24"/>
    <mergeCell ref="B40:D40"/>
    <mergeCell ref="B37:D37"/>
    <mergeCell ref="B18:D18"/>
    <mergeCell ref="B47:D47"/>
    <mergeCell ref="B48:D48"/>
    <mergeCell ref="B21:D21"/>
    <mergeCell ref="B49:D49"/>
    <mergeCell ref="B50:D50"/>
    <mergeCell ref="B51:D51"/>
    <mergeCell ref="B52:D52"/>
    <mergeCell ref="B44:D44"/>
    <mergeCell ref="B43:D43"/>
    <mergeCell ref="B42:D42"/>
    <mergeCell ref="B46:D46"/>
    <mergeCell ref="B59:D59"/>
    <mergeCell ref="B45:D45"/>
    <mergeCell ref="B60:D60"/>
    <mergeCell ref="B61:D61"/>
    <mergeCell ref="B62:D62"/>
    <mergeCell ref="B63:D63"/>
    <mergeCell ref="B64:D64"/>
    <mergeCell ref="B53:D53"/>
    <mergeCell ref="B54:D54"/>
    <mergeCell ref="B55:D55"/>
    <mergeCell ref="B56:D56"/>
    <mergeCell ref="B57:D57"/>
    <mergeCell ref="B58:D58"/>
    <mergeCell ref="B71:D71"/>
    <mergeCell ref="B72:D72"/>
    <mergeCell ref="B73:D73"/>
    <mergeCell ref="B74:D74"/>
    <mergeCell ref="B75:D75"/>
    <mergeCell ref="B76:D76"/>
    <mergeCell ref="B65:D65"/>
    <mergeCell ref="B66:D66"/>
    <mergeCell ref="B67:D67"/>
    <mergeCell ref="B68:D68"/>
    <mergeCell ref="B69:D69"/>
    <mergeCell ref="B70:D70"/>
    <mergeCell ref="B83:D83"/>
    <mergeCell ref="B84:D84"/>
    <mergeCell ref="B85:D85"/>
    <mergeCell ref="B86:D86"/>
    <mergeCell ref="B87:D87"/>
    <mergeCell ref="B88:D88"/>
    <mergeCell ref="B77:D77"/>
    <mergeCell ref="B78:D78"/>
    <mergeCell ref="B79:D79"/>
    <mergeCell ref="B80:D80"/>
    <mergeCell ref="B81:D81"/>
    <mergeCell ref="B82:D82"/>
    <mergeCell ref="B95:D95"/>
    <mergeCell ref="B96:D96"/>
    <mergeCell ref="B101:D101"/>
    <mergeCell ref="B102:D102"/>
    <mergeCell ref="B97:D97"/>
    <mergeCell ref="B98:D98"/>
    <mergeCell ref="B99:D99"/>
    <mergeCell ref="B100:D100"/>
    <mergeCell ref="B89:D89"/>
    <mergeCell ref="B90:D90"/>
    <mergeCell ref="B91:D91"/>
    <mergeCell ref="B92:D92"/>
    <mergeCell ref="B93:D93"/>
    <mergeCell ref="B94:D94"/>
  </mergeCells>
  <phoneticPr fontId="0" type="noConversion"/>
  <printOptions horizontalCentered="1" verticalCentered="1"/>
  <pageMargins left="0.63" right="0.75" top="0.55000000000000004" bottom="0.57999999999999996" header="0.5" footer="0.5"/>
  <pageSetup scale="92" orientation="portrait" r:id="rId1"/>
  <headerFooter alignWithMargins="0"/>
  <colBreaks count="2" manualBreakCount="2">
    <brk id="11" max="1048575" man="1"/>
    <brk id="2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dimension ref="A1:AA27"/>
  <sheetViews>
    <sheetView workbookViewId="0">
      <selection activeCell="L5" sqref="L5"/>
    </sheetView>
  </sheetViews>
  <sheetFormatPr baseColWidth="10" defaultColWidth="9.1640625" defaultRowHeight="13"/>
  <cols>
    <col min="1" max="1" width="2.6640625" style="190" customWidth="1"/>
    <col min="2" max="4" width="16.6640625" style="190" customWidth="1"/>
    <col min="5" max="9" width="10.6640625" style="190" customWidth="1"/>
    <col min="10" max="20" width="10.6640625" style="190" hidden="1" customWidth="1"/>
    <col min="21" max="21" width="10.83203125" style="190" hidden="1" customWidth="1"/>
    <col min="22" max="23" width="10.6640625" style="190" hidden="1" customWidth="1"/>
    <col min="24" max="24" width="3.5" style="190" customWidth="1"/>
    <col min="25" max="26" width="10.6640625" style="190" customWidth="1"/>
    <col min="27" max="16384" width="9.1640625" style="190"/>
  </cols>
  <sheetData>
    <row r="1" spans="1:27" ht="14" thickBot="1">
      <c r="A1" s="381" t="s">
        <v>358</v>
      </c>
      <c r="Y1" s="879">
        <f>+Name</f>
        <v>0</v>
      </c>
      <c r="Z1" s="374" t="e">
        <f>Cover!$H$6</f>
        <v>#N/A</v>
      </c>
    </row>
    <row r="2" spans="1:27" ht="18.75" customHeight="1" thickTop="1" thickBot="1">
      <c r="A2" s="281"/>
      <c r="B2" s="148" t="s">
        <v>1105</v>
      </c>
      <c r="C2" s="383"/>
      <c r="D2" s="383"/>
      <c r="E2" s="383"/>
      <c r="F2" s="383"/>
      <c r="G2" s="383"/>
      <c r="H2" s="383"/>
      <c r="I2" s="383"/>
      <c r="J2" s="384"/>
      <c r="K2" s="384"/>
      <c r="L2" s="281"/>
      <c r="M2" s="281"/>
      <c r="N2" s="281"/>
      <c r="O2" s="281"/>
      <c r="P2" s="281"/>
      <c r="Q2" s="281"/>
      <c r="R2" s="281"/>
      <c r="S2" s="281"/>
      <c r="T2" s="281"/>
      <c r="U2" s="281"/>
      <c r="V2" s="281"/>
      <c r="W2" s="281"/>
      <c r="X2" s="385"/>
      <c r="Y2" s="281"/>
      <c r="Z2" s="281"/>
      <c r="AA2" s="281"/>
    </row>
    <row r="3" spans="1:27" ht="14" thickTop="1">
      <c r="A3" s="281"/>
      <c r="B3" s="146"/>
      <c r="C3" s="123"/>
      <c r="D3" s="128" t="s">
        <v>363</v>
      </c>
      <c r="E3" s="122"/>
      <c r="F3" s="122"/>
      <c r="G3" s="122"/>
      <c r="H3" s="147"/>
      <c r="I3" s="123"/>
      <c r="J3" s="277"/>
      <c r="K3" s="277"/>
      <c r="L3" s="121"/>
      <c r="M3" s="121"/>
      <c r="N3" s="121"/>
      <c r="O3" s="121"/>
      <c r="P3" s="121"/>
      <c r="Q3" s="121"/>
      <c r="R3" s="121"/>
      <c r="S3" s="121"/>
      <c r="T3" s="121"/>
      <c r="U3" s="122"/>
      <c r="V3" s="122"/>
      <c r="W3" s="122"/>
      <c r="X3" s="277"/>
      <c r="Y3" s="122"/>
      <c r="Z3" s="122"/>
      <c r="AA3" s="122"/>
    </row>
    <row r="4" spans="1:27">
      <c r="A4" s="278"/>
      <c r="B4" s="279"/>
      <c r="C4" s="281"/>
      <c r="D4" s="280" t="s">
        <v>1243</v>
      </c>
      <c r="E4" s="155">
        <v>0</v>
      </c>
      <c r="F4" s="281"/>
      <c r="G4" s="281"/>
      <c r="H4" s="282" t="s">
        <v>1094</v>
      </c>
      <c r="I4" s="283">
        <v>2.5000000000000001E-2</v>
      </c>
      <c r="J4" s="124"/>
      <c r="K4" s="124"/>
      <c r="L4" s="121"/>
      <c r="M4" s="121"/>
      <c r="N4" s="121"/>
      <c r="O4" s="121"/>
      <c r="P4" s="121"/>
      <c r="Q4" s="121"/>
      <c r="R4" s="121"/>
      <c r="S4" s="121"/>
      <c r="T4" s="122"/>
      <c r="U4" s="122"/>
      <c r="V4" s="122"/>
      <c r="W4" s="122"/>
      <c r="X4" s="277"/>
      <c r="Y4" s="122"/>
      <c r="Z4" s="122"/>
      <c r="AA4" s="122"/>
    </row>
    <row r="5" spans="1:27">
      <c r="A5" s="278"/>
      <c r="B5" s="279"/>
      <c r="C5" s="281"/>
      <c r="D5" s="280" t="s">
        <v>1102</v>
      </c>
      <c r="E5" s="107">
        <f>300*'Primary Input'!J21</f>
        <v>0</v>
      </c>
      <c r="F5" s="281"/>
      <c r="G5" s="281"/>
      <c r="H5" s="120" t="s">
        <v>505</v>
      </c>
      <c r="I5" s="283">
        <v>0.01</v>
      </c>
      <c r="J5" s="124"/>
      <c r="K5" s="124"/>
      <c r="L5" s="121"/>
      <c r="M5" s="121"/>
      <c r="N5" s="121"/>
      <c r="O5" s="121"/>
      <c r="P5" s="121"/>
      <c r="Q5" s="121"/>
      <c r="R5" s="121"/>
      <c r="S5" s="121"/>
      <c r="T5" s="122"/>
      <c r="U5" s="122"/>
      <c r="V5" s="122"/>
      <c r="W5" s="122"/>
      <c r="X5" s="277"/>
      <c r="Y5" s="122"/>
      <c r="Z5" s="122"/>
      <c r="AA5" s="122"/>
    </row>
    <row r="6" spans="1:27">
      <c r="A6" s="278"/>
      <c r="B6" s="279"/>
      <c r="C6" s="281"/>
      <c r="D6" s="280" t="s">
        <v>1103</v>
      </c>
      <c r="E6" s="284">
        <f>+E5</f>
        <v>0</v>
      </c>
      <c r="F6" s="285" t="s">
        <v>363</v>
      </c>
      <c r="G6" s="281"/>
      <c r="H6" s="281"/>
      <c r="I6" s="123"/>
      <c r="J6" s="124"/>
      <c r="K6" s="124"/>
      <c r="L6" s="121"/>
      <c r="M6" s="121"/>
      <c r="N6" s="121"/>
      <c r="O6" s="121"/>
      <c r="P6" s="121"/>
      <c r="Q6" s="121"/>
      <c r="R6" s="121"/>
      <c r="S6" s="121"/>
      <c r="T6" s="122"/>
      <c r="U6" s="122"/>
      <c r="V6" s="122"/>
      <c r="W6" s="122"/>
      <c r="X6" s="277"/>
      <c r="Y6" s="122"/>
      <c r="Z6" s="122"/>
      <c r="AA6" s="122"/>
    </row>
    <row r="7" spans="1:27" ht="14" thickBot="1">
      <c r="A7" s="278"/>
      <c r="B7" s="286"/>
      <c r="C7" s="287"/>
      <c r="D7" s="288"/>
      <c r="E7" s="289"/>
      <c r="F7" s="290" t="s">
        <v>363</v>
      </c>
      <c r="G7" s="386"/>
      <c r="H7" s="125"/>
      <c r="I7" s="126"/>
      <c r="J7" s="127"/>
      <c r="K7" s="127"/>
      <c r="L7" s="121"/>
      <c r="M7" s="121"/>
      <c r="N7" s="121"/>
      <c r="O7" s="121"/>
      <c r="P7" s="121"/>
      <c r="Q7" s="121"/>
      <c r="R7" s="121"/>
      <c r="S7" s="121"/>
      <c r="T7" s="122"/>
      <c r="U7" s="122"/>
      <c r="V7" s="122"/>
      <c r="W7" s="122"/>
      <c r="X7" s="276"/>
      <c r="Y7" s="122"/>
      <c r="Z7" s="122"/>
      <c r="AA7" s="122"/>
    </row>
    <row r="8" spans="1:27">
      <c r="A8" s="278"/>
      <c r="B8" s="278"/>
      <c r="C8" s="128"/>
      <c r="D8" s="281"/>
      <c r="E8" s="281"/>
      <c r="F8" s="281"/>
      <c r="G8" s="281"/>
      <c r="H8" s="281"/>
      <c r="I8" s="281"/>
      <c r="J8" s="281"/>
      <c r="K8" s="281"/>
      <c r="L8" s="121"/>
      <c r="M8" s="121"/>
      <c r="N8" s="121"/>
      <c r="O8" s="121"/>
      <c r="P8" s="121"/>
      <c r="Q8" s="121"/>
      <c r="R8" s="121"/>
      <c r="S8" s="121"/>
      <c r="T8" s="122"/>
      <c r="U8" s="122"/>
      <c r="V8" s="122"/>
      <c r="W8" s="122"/>
      <c r="X8" s="122"/>
      <c r="Y8" s="122"/>
      <c r="Z8" s="122"/>
      <c r="AA8" s="122"/>
    </row>
    <row r="9" spans="1:27" ht="14" thickBot="1">
      <c r="A9" s="122"/>
      <c r="B9" s="129"/>
      <c r="C9" s="129"/>
      <c r="D9" s="291"/>
      <c r="E9" s="291"/>
      <c r="F9" s="129"/>
      <c r="G9" s="129"/>
      <c r="H9" s="129"/>
      <c r="I9" s="129"/>
      <c r="J9" s="129"/>
      <c r="K9" s="129"/>
      <c r="L9" s="129"/>
      <c r="M9" s="129"/>
      <c r="N9" s="129" t="s">
        <v>1563</v>
      </c>
      <c r="O9" s="129"/>
      <c r="P9" s="129"/>
      <c r="Q9" s="129"/>
      <c r="R9" s="129"/>
      <c r="S9" s="129"/>
      <c r="T9" s="129"/>
      <c r="U9" s="129"/>
      <c r="V9" s="129"/>
      <c r="W9" s="129"/>
      <c r="X9" s="129"/>
      <c r="Y9" s="129"/>
      <c r="Z9" s="130"/>
      <c r="AA9" s="122"/>
    </row>
    <row r="10" spans="1:27" ht="15" thickTop="1" thickBot="1">
      <c r="A10" s="122"/>
      <c r="B10" s="292" t="s">
        <v>1106</v>
      </c>
      <c r="C10" s="247"/>
      <c r="D10" s="293"/>
      <c r="E10" s="294">
        <v>1</v>
      </c>
      <c r="F10" s="295">
        <f>+E10+1</f>
        <v>2</v>
      </c>
      <c r="G10" s="295">
        <f t="shared" ref="G10:W10" si="0">+F10+1</f>
        <v>3</v>
      </c>
      <c r="H10" s="295">
        <f t="shared" si="0"/>
        <v>4</v>
      </c>
      <c r="I10" s="295">
        <f t="shared" si="0"/>
        <v>5</v>
      </c>
      <c r="J10" s="295">
        <f t="shared" si="0"/>
        <v>6</v>
      </c>
      <c r="K10" s="295">
        <f t="shared" si="0"/>
        <v>7</v>
      </c>
      <c r="L10" s="296">
        <f t="shared" si="0"/>
        <v>8</v>
      </c>
      <c r="M10" s="294">
        <f t="shared" si="0"/>
        <v>9</v>
      </c>
      <c r="N10" s="295">
        <f t="shared" si="0"/>
        <v>10</v>
      </c>
      <c r="O10" s="295">
        <f t="shared" si="0"/>
        <v>11</v>
      </c>
      <c r="P10" s="295">
        <f t="shared" si="0"/>
        <v>12</v>
      </c>
      <c r="Q10" s="295">
        <f t="shared" si="0"/>
        <v>13</v>
      </c>
      <c r="R10" s="295">
        <f t="shared" si="0"/>
        <v>14</v>
      </c>
      <c r="S10" s="295">
        <f t="shared" si="0"/>
        <v>15</v>
      </c>
      <c r="T10" s="295">
        <f t="shared" si="0"/>
        <v>16</v>
      </c>
      <c r="U10" s="295">
        <f t="shared" si="0"/>
        <v>17</v>
      </c>
      <c r="V10" s="295">
        <f t="shared" si="0"/>
        <v>18</v>
      </c>
      <c r="W10" s="295">
        <f t="shared" si="0"/>
        <v>19</v>
      </c>
      <c r="X10" s="295"/>
      <c r="Y10" s="295">
        <f>+W10+1</f>
        <v>20</v>
      </c>
      <c r="Z10" s="297" t="s">
        <v>751</v>
      </c>
      <c r="AA10" s="122"/>
    </row>
    <row r="11" spans="1:27" ht="15" thickTop="1" thickBot="1">
      <c r="A11" s="122"/>
      <c r="B11" s="1448" t="s">
        <v>1104</v>
      </c>
      <c r="C11" s="1449"/>
      <c r="D11" s="1450"/>
      <c r="E11" s="298">
        <f>+'Reserve Needs'!H108</f>
        <v>0</v>
      </c>
      <c r="F11" s="299">
        <f>+'Reserve Needs'!I108</f>
        <v>0</v>
      </c>
      <c r="G11" s="299">
        <f>+'Reserve Needs'!J108</f>
        <v>0</v>
      </c>
      <c r="H11" s="299">
        <f>+'Reserve Needs'!K108</f>
        <v>0</v>
      </c>
      <c r="I11" s="299">
        <f>+'Reserve Needs'!L108</f>
        <v>0</v>
      </c>
      <c r="J11" s="299">
        <f>+'Reserve Needs'!M108</f>
        <v>0</v>
      </c>
      <c r="K11" s="299">
        <f>+'Reserve Needs'!N108</f>
        <v>0</v>
      </c>
      <c r="L11" s="300">
        <f>+'Reserve Needs'!O108</f>
        <v>0</v>
      </c>
      <c r="M11" s="298">
        <f>+'Reserve Needs'!P108</f>
        <v>0</v>
      </c>
      <c r="N11" s="299">
        <f>+'Reserve Needs'!Q108</f>
        <v>0</v>
      </c>
      <c r="O11" s="299">
        <f>+'Reserve Needs'!R108</f>
        <v>0</v>
      </c>
      <c r="P11" s="299">
        <f>+'Reserve Needs'!S108</f>
        <v>0</v>
      </c>
      <c r="Q11" s="299">
        <f>+'Reserve Needs'!T108</f>
        <v>0</v>
      </c>
      <c r="R11" s="299">
        <f>+'Reserve Needs'!U108</f>
        <v>0</v>
      </c>
      <c r="S11" s="299">
        <f>+'Reserve Needs'!V108</f>
        <v>0</v>
      </c>
      <c r="T11" s="299">
        <f>+'Reserve Needs'!W108</f>
        <v>0</v>
      </c>
      <c r="U11" s="299">
        <f>+'Reserve Needs'!X108</f>
        <v>0</v>
      </c>
      <c r="V11" s="299">
        <f>+'Reserve Needs'!Y108</f>
        <v>0</v>
      </c>
      <c r="W11" s="299">
        <f>+'Reserve Needs'!Z108</f>
        <v>0</v>
      </c>
      <c r="X11" s="299"/>
      <c r="Y11" s="299">
        <f>+'Reserve Needs'!AA108</f>
        <v>0</v>
      </c>
      <c r="Z11" s="301">
        <f>SUM(E11:Y11)</f>
        <v>0</v>
      </c>
      <c r="AA11" s="122"/>
    </row>
    <row r="12" spans="1:27" ht="14" thickTop="1">
      <c r="A12" s="122"/>
      <c r="B12" s="1454" t="s">
        <v>1093</v>
      </c>
      <c r="C12" s="1455"/>
      <c r="D12" s="1456"/>
      <c r="E12" s="302">
        <f>+E4</f>
        <v>0</v>
      </c>
      <c r="F12" s="303">
        <f>+E16</f>
        <v>0</v>
      </c>
      <c r="G12" s="303">
        <f t="shared" ref="G12:W12" si="1">+F16</f>
        <v>0</v>
      </c>
      <c r="H12" s="303">
        <f t="shared" si="1"/>
        <v>0</v>
      </c>
      <c r="I12" s="303">
        <f t="shared" si="1"/>
        <v>0</v>
      </c>
      <c r="J12" s="303">
        <f t="shared" si="1"/>
        <v>0</v>
      </c>
      <c r="K12" s="303">
        <f t="shared" si="1"/>
        <v>0</v>
      </c>
      <c r="L12" s="304">
        <f t="shared" si="1"/>
        <v>0</v>
      </c>
      <c r="M12" s="302">
        <f t="shared" si="1"/>
        <v>0</v>
      </c>
      <c r="N12" s="303">
        <f t="shared" si="1"/>
        <v>0</v>
      </c>
      <c r="O12" s="303">
        <f t="shared" si="1"/>
        <v>0</v>
      </c>
      <c r="P12" s="303">
        <f t="shared" si="1"/>
        <v>0</v>
      </c>
      <c r="Q12" s="303">
        <f t="shared" si="1"/>
        <v>0</v>
      </c>
      <c r="R12" s="303">
        <f t="shared" si="1"/>
        <v>0</v>
      </c>
      <c r="S12" s="303">
        <f t="shared" si="1"/>
        <v>0</v>
      </c>
      <c r="T12" s="303">
        <f t="shared" si="1"/>
        <v>0</v>
      </c>
      <c r="U12" s="303">
        <f t="shared" si="1"/>
        <v>0</v>
      </c>
      <c r="V12" s="303">
        <f t="shared" si="1"/>
        <v>0</v>
      </c>
      <c r="W12" s="303">
        <f t="shared" si="1"/>
        <v>0</v>
      </c>
      <c r="X12" s="303"/>
      <c r="Y12" s="303">
        <f>+W16</f>
        <v>0</v>
      </c>
      <c r="Z12" s="305" t="s">
        <v>1561</v>
      </c>
      <c r="AA12" s="122"/>
    </row>
    <row r="13" spans="1:27">
      <c r="A13" s="122"/>
      <c r="B13" s="1451" t="s">
        <v>753</v>
      </c>
      <c r="C13" s="1452"/>
      <c r="D13" s="1453"/>
      <c r="E13" s="154">
        <f>+E5</f>
        <v>0</v>
      </c>
      <c r="F13" s="306">
        <f>+E13*(1+$I$4)</f>
        <v>0</v>
      </c>
      <c r="G13" s="306">
        <f t="shared" ref="G13:W13" si="2">+F13*(1+$I$4)</f>
        <v>0</v>
      </c>
      <c r="H13" s="306">
        <f t="shared" si="2"/>
        <v>0</v>
      </c>
      <c r="I13" s="306">
        <f t="shared" si="2"/>
        <v>0</v>
      </c>
      <c r="J13" s="306">
        <f t="shared" si="2"/>
        <v>0</v>
      </c>
      <c r="K13" s="306">
        <f t="shared" si="2"/>
        <v>0</v>
      </c>
      <c r="L13" s="307">
        <f t="shared" si="2"/>
        <v>0</v>
      </c>
      <c r="M13" s="308">
        <f t="shared" si="2"/>
        <v>0</v>
      </c>
      <c r="N13" s="306">
        <f t="shared" si="2"/>
        <v>0</v>
      </c>
      <c r="O13" s="306">
        <f t="shared" si="2"/>
        <v>0</v>
      </c>
      <c r="P13" s="306">
        <f t="shared" si="2"/>
        <v>0</v>
      </c>
      <c r="Q13" s="306">
        <f t="shared" si="2"/>
        <v>0</v>
      </c>
      <c r="R13" s="306">
        <f t="shared" si="2"/>
        <v>0</v>
      </c>
      <c r="S13" s="306">
        <f t="shared" si="2"/>
        <v>0</v>
      </c>
      <c r="T13" s="306">
        <f t="shared" si="2"/>
        <v>0</v>
      </c>
      <c r="U13" s="306">
        <f t="shared" si="2"/>
        <v>0</v>
      </c>
      <c r="V13" s="306">
        <f t="shared" si="2"/>
        <v>0</v>
      </c>
      <c r="W13" s="306">
        <f t="shared" si="2"/>
        <v>0</v>
      </c>
      <c r="X13" s="306"/>
      <c r="Y13" s="306">
        <f>+W13*(1+$I$4)</f>
        <v>0</v>
      </c>
      <c r="Z13" s="309">
        <f>SUM(E13:Y13)</f>
        <v>0</v>
      </c>
      <c r="AA13" s="122"/>
    </row>
    <row r="14" spans="1:27">
      <c r="A14" s="122"/>
      <c r="B14" s="1454" t="s">
        <v>1564</v>
      </c>
      <c r="C14" s="1455"/>
      <c r="D14" s="1456"/>
      <c r="E14" s="310">
        <f>-E11</f>
        <v>0</v>
      </c>
      <c r="F14" s="311">
        <f>-F11</f>
        <v>0</v>
      </c>
      <c r="G14" s="311">
        <f t="shared" ref="G14:Y14" si="3">-G11</f>
        <v>0</v>
      </c>
      <c r="H14" s="311">
        <f t="shared" si="3"/>
        <v>0</v>
      </c>
      <c r="I14" s="311">
        <f t="shared" si="3"/>
        <v>0</v>
      </c>
      <c r="J14" s="311">
        <f t="shared" si="3"/>
        <v>0</v>
      </c>
      <c r="K14" s="311">
        <f t="shared" si="3"/>
        <v>0</v>
      </c>
      <c r="L14" s="312">
        <f t="shared" si="3"/>
        <v>0</v>
      </c>
      <c r="M14" s="310">
        <f t="shared" si="3"/>
        <v>0</v>
      </c>
      <c r="N14" s="311">
        <f t="shared" si="3"/>
        <v>0</v>
      </c>
      <c r="O14" s="311">
        <f t="shared" si="3"/>
        <v>0</v>
      </c>
      <c r="P14" s="311">
        <f t="shared" si="3"/>
        <v>0</v>
      </c>
      <c r="Q14" s="311">
        <f t="shared" si="3"/>
        <v>0</v>
      </c>
      <c r="R14" s="311">
        <f t="shared" si="3"/>
        <v>0</v>
      </c>
      <c r="S14" s="311">
        <f t="shared" si="3"/>
        <v>0</v>
      </c>
      <c r="T14" s="311">
        <f t="shared" si="3"/>
        <v>0</v>
      </c>
      <c r="U14" s="311">
        <f t="shared" si="3"/>
        <v>0</v>
      </c>
      <c r="V14" s="311">
        <f t="shared" si="3"/>
        <v>0</v>
      </c>
      <c r="W14" s="311">
        <f t="shared" si="3"/>
        <v>0</v>
      </c>
      <c r="X14" s="311"/>
      <c r="Y14" s="311">
        <f t="shared" si="3"/>
        <v>0</v>
      </c>
      <c r="Z14" s="309">
        <f>SUM(E14:Y14)</f>
        <v>0</v>
      </c>
      <c r="AA14" s="122"/>
    </row>
    <row r="15" spans="1:27">
      <c r="A15" s="122"/>
      <c r="B15" s="1457" t="s">
        <v>1562</v>
      </c>
      <c r="C15" s="1458"/>
      <c r="D15" s="1459"/>
      <c r="E15" s="313">
        <f>+E12*I5</f>
        <v>0</v>
      </c>
      <c r="F15" s="314">
        <f>+F12*$I$5</f>
        <v>0</v>
      </c>
      <c r="G15" s="314">
        <f t="shared" ref="G15:Y15" si="4">+G12*$I$5</f>
        <v>0</v>
      </c>
      <c r="H15" s="314">
        <f t="shared" si="4"/>
        <v>0</v>
      </c>
      <c r="I15" s="314">
        <f t="shared" si="4"/>
        <v>0</v>
      </c>
      <c r="J15" s="314">
        <f t="shared" si="4"/>
        <v>0</v>
      </c>
      <c r="K15" s="314">
        <f t="shared" si="4"/>
        <v>0</v>
      </c>
      <c r="L15" s="315">
        <f t="shared" si="4"/>
        <v>0</v>
      </c>
      <c r="M15" s="313">
        <f t="shared" si="4"/>
        <v>0</v>
      </c>
      <c r="N15" s="314">
        <f t="shared" si="4"/>
        <v>0</v>
      </c>
      <c r="O15" s="314">
        <f t="shared" si="4"/>
        <v>0</v>
      </c>
      <c r="P15" s="314">
        <f t="shared" si="4"/>
        <v>0</v>
      </c>
      <c r="Q15" s="314">
        <f t="shared" si="4"/>
        <v>0</v>
      </c>
      <c r="R15" s="314">
        <f t="shared" si="4"/>
        <v>0</v>
      </c>
      <c r="S15" s="314">
        <f t="shared" si="4"/>
        <v>0</v>
      </c>
      <c r="T15" s="314">
        <f t="shared" si="4"/>
        <v>0</v>
      </c>
      <c r="U15" s="314">
        <f t="shared" si="4"/>
        <v>0</v>
      </c>
      <c r="V15" s="314">
        <f t="shared" si="4"/>
        <v>0</v>
      </c>
      <c r="W15" s="314">
        <f t="shared" si="4"/>
        <v>0</v>
      </c>
      <c r="X15" s="314"/>
      <c r="Y15" s="314">
        <f t="shared" si="4"/>
        <v>0</v>
      </c>
      <c r="Z15" s="309">
        <f>SUM(E15:Y15)</f>
        <v>0</v>
      </c>
      <c r="AA15" s="122"/>
    </row>
    <row r="16" spans="1:27" ht="14" thickBot="1">
      <c r="A16" s="122"/>
      <c r="B16" s="1460" t="s">
        <v>1565</v>
      </c>
      <c r="C16" s="1461"/>
      <c r="D16" s="1462"/>
      <c r="E16" s="316">
        <f>SUM(E12:E15)</f>
        <v>0</v>
      </c>
      <c r="F16" s="317">
        <f>SUM(F12:F15)</f>
        <v>0</v>
      </c>
      <c r="G16" s="317">
        <f t="shared" ref="G16:Y16" si="5">SUM(G12:G15)</f>
        <v>0</v>
      </c>
      <c r="H16" s="317">
        <f t="shared" si="5"/>
        <v>0</v>
      </c>
      <c r="I16" s="317">
        <f t="shared" si="5"/>
        <v>0</v>
      </c>
      <c r="J16" s="317">
        <f t="shared" si="5"/>
        <v>0</v>
      </c>
      <c r="K16" s="317">
        <f t="shared" si="5"/>
        <v>0</v>
      </c>
      <c r="L16" s="318">
        <f t="shared" si="5"/>
        <v>0</v>
      </c>
      <c r="M16" s="316">
        <f t="shared" si="5"/>
        <v>0</v>
      </c>
      <c r="N16" s="317">
        <f t="shared" si="5"/>
        <v>0</v>
      </c>
      <c r="O16" s="317">
        <f t="shared" si="5"/>
        <v>0</v>
      </c>
      <c r="P16" s="317">
        <f t="shared" si="5"/>
        <v>0</v>
      </c>
      <c r="Q16" s="317">
        <f t="shared" si="5"/>
        <v>0</v>
      </c>
      <c r="R16" s="317">
        <f t="shared" si="5"/>
        <v>0</v>
      </c>
      <c r="S16" s="317">
        <f t="shared" si="5"/>
        <v>0</v>
      </c>
      <c r="T16" s="317">
        <f t="shared" si="5"/>
        <v>0</v>
      </c>
      <c r="U16" s="317">
        <f t="shared" si="5"/>
        <v>0</v>
      </c>
      <c r="V16" s="317">
        <f t="shared" si="5"/>
        <v>0</v>
      </c>
      <c r="W16" s="317">
        <f t="shared" si="5"/>
        <v>0</v>
      </c>
      <c r="X16" s="317"/>
      <c r="Y16" s="317">
        <f t="shared" si="5"/>
        <v>0</v>
      </c>
      <c r="Z16" s="319" t="s">
        <v>1561</v>
      </c>
      <c r="AA16" s="122"/>
    </row>
    <row r="17" spans="1:27" ht="15" thickTop="1" thickBot="1">
      <c r="A17" s="122"/>
      <c r="B17" s="1463" t="s">
        <v>754</v>
      </c>
      <c r="C17" s="1464"/>
      <c r="D17" s="1465"/>
      <c r="E17" s="320" t="str">
        <f t="shared" ref="E17:Z17" si="6">IF(E16&lt;$E$6,"Inadequacy","")</f>
        <v/>
      </c>
      <c r="F17" s="321" t="str">
        <f t="shared" si="6"/>
        <v/>
      </c>
      <c r="G17" s="321" t="str">
        <f t="shared" si="6"/>
        <v/>
      </c>
      <c r="H17" s="321" t="str">
        <f t="shared" si="6"/>
        <v/>
      </c>
      <c r="I17" s="321" t="str">
        <f t="shared" si="6"/>
        <v/>
      </c>
      <c r="J17" s="321" t="str">
        <f t="shared" si="6"/>
        <v/>
      </c>
      <c r="K17" s="321" t="str">
        <f t="shared" si="6"/>
        <v/>
      </c>
      <c r="L17" s="322" t="str">
        <f t="shared" si="6"/>
        <v/>
      </c>
      <c r="M17" s="320" t="str">
        <f t="shared" si="6"/>
        <v/>
      </c>
      <c r="N17" s="321" t="str">
        <f t="shared" si="6"/>
        <v/>
      </c>
      <c r="O17" s="321" t="str">
        <f t="shared" si="6"/>
        <v/>
      </c>
      <c r="P17" s="321" t="str">
        <f t="shared" si="6"/>
        <v/>
      </c>
      <c r="Q17" s="321" t="str">
        <f t="shared" si="6"/>
        <v/>
      </c>
      <c r="R17" s="321" t="str">
        <f t="shared" si="6"/>
        <v/>
      </c>
      <c r="S17" s="321" t="str">
        <f t="shared" si="6"/>
        <v/>
      </c>
      <c r="T17" s="321" t="str">
        <f t="shared" si="6"/>
        <v/>
      </c>
      <c r="U17" s="321" t="str">
        <f t="shared" si="6"/>
        <v/>
      </c>
      <c r="V17" s="321" t="str">
        <f t="shared" si="6"/>
        <v/>
      </c>
      <c r="W17" s="321" t="str">
        <f t="shared" si="6"/>
        <v/>
      </c>
      <c r="X17" s="321"/>
      <c r="Y17" s="321" t="str">
        <f t="shared" si="6"/>
        <v/>
      </c>
      <c r="Z17" s="322" t="str">
        <f t="shared" si="6"/>
        <v/>
      </c>
      <c r="AA17" s="122"/>
    </row>
    <row r="18" spans="1:27" ht="14" thickTop="1">
      <c r="A18" s="122"/>
      <c r="B18" s="1447" t="str">
        <f>IF(Z18&gt;0,"Inadequacy Problems","")</f>
        <v/>
      </c>
      <c r="C18" s="1447"/>
      <c r="D18" s="1447"/>
      <c r="E18" s="387">
        <f>IF(E16&lt;$E6,1,0)</f>
        <v>0</v>
      </c>
      <c r="F18" s="387">
        <f t="shared" ref="F18:Y18" si="7">IF(F16&lt;$E6,1,0)</f>
        <v>0</v>
      </c>
      <c r="G18" s="387">
        <f t="shared" si="7"/>
        <v>0</v>
      </c>
      <c r="H18" s="387">
        <f t="shared" si="7"/>
        <v>0</v>
      </c>
      <c r="I18" s="387">
        <f t="shared" si="7"/>
        <v>0</v>
      </c>
      <c r="J18" s="387">
        <f t="shared" si="7"/>
        <v>0</v>
      </c>
      <c r="K18" s="387">
        <f t="shared" si="7"/>
        <v>0</v>
      </c>
      <c r="L18" s="387">
        <f t="shared" si="7"/>
        <v>0</v>
      </c>
      <c r="M18" s="387">
        <f t="shared" si="7"/>
        <v>0</v>
      </c>
      <c r="N18" s="387">
        <f t="shared" si="7"/>
        <v>0</v>
      </c>
      <c r="O18" s="387">
        <f t="shared" si="7"/>
        <v>0</v>
      </c>
      <c r="P18" s="387">
        <f t="shared" si="7"/>
        <v>0</v>
      </c>
      <c r="Q18" s="387">
        <f t="shared" si="7"/>
        <v>0</v>
      </c>
      <c r="R18" s="387">
        <f t="shared" si="7"/>
        <v>0</v>
      </c>
      <c r="S18" s="387">
        <f t="shared" si="7"/>
        <v>0</v>
      </c>
      <c r="T18" s="387">
        <f t="shared" si="7"/>
        <v>0</v>
      </c>
      <c r="U18" s="387">
        <f t="shared" si="7"/>
        <v>0</v>
      </c>
      <c r="V18" s="387">
        <f t="shared" si="7"/>
        <v>0</v>
      </c>
      <c r="W18" s="387">
        <f t="shared" si="7"/>
        <v>0</v>
      </c>
      <c r="X18" s="387"/>
      <c r="Y18" s="387">
        <f t="shared" si="7"/>
        <v>0</v>
      </c>
      <c r="Z18" s="206">
        <f>SUM(E18:Y18)</f>
        <v>0</v>
      </c>
      <c r="AA18" s="122"/>
    </row>
    <row r="19" spans="1:27">
      <c r="A19" s="122"/>
      <c r="B19" s="323"/>
      <c r="C19" s="324" t="s">
        <v>506</v>
      </c>
      <c r="D19" s="388" t="e">
        <f>+Y16/'Primary Input'!J21</f>
        <v>#DIV/0!</v>
      </c>
      <c r="E19" s="281"/>
      <c r="F19" s="281"/>
      <c r="G19" s="278"/>
      <c r="H19" s="281"/>
      <c r="I19" s="281"/>
      <c r="J19" s="281"/>
      <c r="K19" s="281"/>
      <c r="L19" s="278"/>
      <c r="M19" s="278"/>
      <c r="N19" s="281"/>
      <c r="O19" s="281"/>
      <c r="P19" s="281"/>
      <c r="Q19" s="281"/>
      <c r="R19" s="278"/>
      <c r="S19" s="278"/>
      <c r="T19" s="278"/>
      <c r="U19" s="278"/>
      <c r="V19" s="122"/>
      <c r="W19" s="122"/>
      <c r="X19" s="122"/>
      <c r="Y19" s="122"/>
      <c r="Z19" s="122"/>
      <c r="AA19" s="122"/>
    </row>
    <row r="20" spans="1:27">
      <c r="A20" s="122"/>
      <c r="B20" s="281"/>
      <c r="C20" s="325"/>
      <c r="D20" s="281"/>
      <c r="E20" s="281"/>
      <c r="F20" s="281"/>
      <c r="G20" s="278"/>
      <c r="H20" s="281"/>
      <c r="I20" s="281"/>
      <c r="J20" s="281"/>
      <c r="K20" s="281"/>
      <c r="L20" s="278"/>
      <c r="M20" s="278"/>
      <c r="N20" s="281"/>
      <c r="O20" s="281"/>
      <c r="P20" s="281"/>
      <c r="Q20" s="281"/>
      <c r="R20" s="278"/>
      <c r="S20" s="278"/>
      <c r="T20" s="278"/>
      <c r="U20" s="278"/>
      <c r="V20" s="122"/>
      <c r="W20" s="122"/>
      <c r="X20" s="122"/>
      <c r="Y20" s="122"/>
      <c r="Z20" s="122"/>
      <c r="AA20" s="122"/>
    </row>
    <row r="21" spans="1:27">
      <c r="A21" s="122"/>
      <c r="B21" s="281"/>
      <c r="C21" s="325"/>
      <c r="D21" s="281"/>
      <c r="E21" s="281"/>
      <c r="F21" s="281"/>
      <c r="G21" s="325"/>
      <c r="H21" s="281"/>
      <c r="I21" s="281"/>
      <c r="J21" s="281"/>
      <c r="K21" s="281"/>
      <c r="L21" s="278"/>
      <c r="M21" s="278"/>
      <c r="N21" s="281"/>
      <c r="O21" s="281"/>
      <c r="P21" s="281"/>
      <c r="Q21" s="281"/>
      <c r="R21" s="122"/>
      <c r="S21" s="122"/>
      <c r="T21" s="122"/>
      <c r="U21" s="122"/>
      <c r="V21" s="122"/>
      <c r="W21" s="122"/>
      <c r="X21" s="122"/>
      <c r="Y21" s="122"/>
      <c r="Z21" s="122"/>
      <c r="AA21" s="122"/>
    </row>
    <row r="22" spans="1:27">
      <c r="A22" s="122"/>
      <c r="B22" s="325"/>
      <c r="C22" s="325"/>
      <c r="D22" s="325"/>
      <c r="E22" s="278"/>
      <c r="F22" s="278"/>
      <c r="G22" s="325"/>
      <c r="H22" s="281"/>
      <c r="I22" s="281"/>
      <c r="J22" s="281"/>
      <c r="K22" s="281"/>
      <c r="L22" s="278"/>
      <c r="M22" s="278"/>
      <c r="N22" s="278"/>
      <c r="O22" s="278"/>
      <c r="P22" s="278"/>
      <c r="Q22" s="122"/>
      <c r="R22" s="122"/>
      <c r="S22" s="122"/>
      <c r="T22" s="122"/>
      <c r="U22" s="122"/>
      <c r="V22" s="326"/>
      <c r="W22" s="325"/>
      <c r="X22" s="325"/>
      <c r="Y22" s="325"/>
      <c r="Z22" s="327"/>
      <c r="AA22" s="122"/>
    </row>
    <row r="23" spans="1:27">
      <c r="A23" s="122"/>
      <c r="B23" s="325"/>
      <c r="C23" s="325"/>
      <c r="D23" s="325"/>
      <c r="E23" s="278"/>
      <c r="F23" s="278"/>
      <c r="G23" s="325"/>
      <c r="H23" s="281"/>
      <c r="I23" s="281"/>
      <c r="J23" s="281"/>
      <c r="K23" s="281"/>
      <c r="L23" s="278"/>
      <c r="M23" s="278"/>
      <c r="N23" s="278"/>
      <c r="O23" s="278"/>
      <c r="P23" s="278"/>
      <c r="Q23" s="122"/>
      <c r="R23" s="122"/>
      <c r="S23" s="122"/>
      <c r="T23" s="122"/>
      <c r="U23" s="122"/>
      <c r="V23" s="326"/>
      <c r="W23" s="325"/>
      <c r="X23" s="325"/>
      <c r="Y23" s="325"/>
      <c r="Z23" s="327"/>
      <c r="AA23" s="122"/>
    </row>
    <row r="24" spans="1:27">
      <c r="A24" s="122"/>
      <c r="B24" s="325"/>
      <c r="C24" s="325"/>
      <c r="D24" s="325"/>
      <c r="E24" s="278"/>
      <c r="F24" s="278"/>
      <c r="G24" s="325"/>
      <c r="H24" s="281"/>
      <c r="I24" s="281"/>
      <c r="J24" s="281"/>
      <c r="K24" s="281"/>
      <c r="L24" s="278"/>
      <c r="M24" s="278"/>
      <c r="N24" s="278"/>
      <c r="O24" s="278"/>
      <c r="P24" s="278"/>
      <c r="Q24" s="122"/>
      <c r="R24" s="122"/>
      <c r="S24" s="122"/>
      <c r="T24" s="122"/>
      <c r="U24" s="122"/>
      <c r="V24" s="326"/>
      <c r="W24" s="325"/>
      <c r="X24" s="325"/>
      <c r="Y24" s="325"/>
      <c r="Z24" s="327"/>
      <c r="AA24" s="122"/>
    </row>
    <row r="25" spans="1:27">
      <c r="A25" s="122"/>
      <c r="B25" s="325"/>
      <c r="C25" s="325"/>
      <c r="D25" s="325"/>
      <c r="E25" s="278"/>
      <c r="F25" s="278"/>
      <c r="G25" s="325"/>
      <c r="H25" s="281"/>
      <c r="I25" s="281"/>
      <c r="J25" s="281"/>
      <c r="K25" s="281"/>
      <c r="L25" s="278"/>
      <c r="M25" s="278"/>
      <c r="N25" s="278"/>
      <c r="O25" s="278"/>
      <c r="P25" s="278"/>
      <c r="Q25" s="122"/>
      <c r="R25" s="122"/>
      <c r="S25" s="122"/>
      <c r="T25" s="122"/>
      <c r="U25" s="122"/>
      <c r="V25" s="326"/>
      <c r="W25" s="325"/>
      <c r="X25" s="325"/>
      <c r="Y25" s="325"/>
      <c r="Z25" s="327"/>
      <c r="AA25" s="122"/>
    </row>
    <row r="26" spans="1:27">
      <c r="A26" s="122"/>
      <c r="B26" s="325"/>
      <c r="C26" s="325"/>
      <c r="D26" s="325"/>
      <c r="E26" s="278"/>
      <c r="F26" s="278"/>
      <c r="G26" s="325"/>
      <c r="H26" s="281"/>
      <c r="I26" s="281"/>
      <c r="J26" s="281"/>
      <c r="K26" s="281"/>
      <c r="L26" s="278"/>
      <c r="M26" s="278"/>
      <c r="N26" s="278"/>
      <c r="O26" s="278"/>
      <c r="P26" s="278"/>
      <c r="Q26" s="122"/>
      <c r="R26" s="122"/>
      <c r="S26" s="122"/>
      <c r="T26" s="122"/>
      <c r="U26" s="122"/>
      <c r="V26" s="326"/>
      <c r="W26" s="325"/>
      <c r="X26" s="325"/>
      <c r="Y26" s="325"/>
      <c r="Z26" s="327"/>
      <c r="AA26" s="122"/>
    </row>
    <row r="27" spans="1:27">
      <c r="A27" s="122"/>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row>
  </sheetData>
  <sheetProtection password="CCBC" sheet="1" objects="1" scenarios="1"/>
  <mergeCells count="8">
    <mergeCell ref="B18:D18"/>
    <mergeCell ref="B11:D11"/>
    <mergeCell ref="B13:D13"/>
    <mergeCell ref="B12:D12"/>
    <mergeCell ref="B15:D15"/>
    <mergeCell ref="B16:D16"/>
    <mergeCell ref="B17:D17"/>
    <mergeCell ref="B14:D14"/>
  </mergeCells>
  <phoneticPr fontId="0" type="noConversion"/>
  <printOptions horizontalCentered="1" verticalCentered="1"/>
  <pageMargins left="0.6" right="0.46" top="1" bottom="1" header="0.5" footer="0.5"/>
  <pageSetup scale="9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dimension ref="A1:O280"/>
  <sheetViews>
    <sheetView zoomScaleNormal="100" workbookViewId="0">
      <selection activeCell="L5" sqref="L5"/>
    </sheetView>
  </sheetViews>
  <sheetFormatPr baseColWidth="10" defaultColWidth="9.1640625" defaultRowHeight="13"/>
  <cols>
    <col min="1" max="1" width="3.6640625" style="190" customWidth="1"/>
    <col min="2" max="2" width="7.5" style="190" customWidth="1"/>
    <col min="3" max="3" width="5.5" style="190" customWidth="1"/>
    <col min="4" max="5" width="9.1640625" style="190"/>
    <col min="6" max="6" width="12.6640625" style="190" customWidth="1"/>
    <col min="7" max="8" width="9.1640625" style="190"/>
    <col min="9" max="10" width="12.6640625" style="190" customWidth="1"/>
    <col min="11" max="11" width="3.6640625" style="190" customWidth="1"/>
    <col min="12" max="16384" width="9.1640625" style="190"/>
  </cols>
  <sheetData>
    <row r="1" spans="1:15" ht="14" thickBot="1">
      <c r="A1" s="381" t="s">
        <v>359</v>
      </c>
      <c r="B1" s="631"/>
      <c r="C1" s="359"/>
      <c r="D1" s="359"/>
      <c r="E1" s="359"/>
      <c r="F1" s="359"/>
      <c r="G1" s="359"/>
      <c r="H1" s="359"/>
      <c r="I1" s="879">
        <f>+Name</f>
        <v>0</v>
      </c>
      <c r="J1" s="374" t="e">
        <f>Cover!$H$6</f>
        <v>#N/A</v>
      </c>
      <c r="K1" s="359"/>
      <c r="L1" s="359"/>
      <c r="M1" s="359"/>
      <c r="N1" s="359"/>
      <c r="O1" s="359"/>
    </row>
    <row r="2" spans="1:15" ht="19" thickTop="1">
      <c r="B2" s="632" t="s">
        <v>1987</v>
      </c>
      <c r="C2" s="633"/>
      <c r="D2" s="633"/>
      <c r="E2" s="633"/>
      <c r="F2" s="633"/>
      <c r="G2" s="633"/>
      <c r="H2" s="633"/>
      <c r="I2" s="633"/>
      <c r="J2" s="634"/>
      <c r="K2" s="635" t="s">
        <v>363</v>
      </c>
      <c r="L2" s="376"/>
      <c r="M2" s="359"/>
      <c r="N2" s="359"/>
      <c r="O2" s="359"/>
    </row>
    <row r="3" spans="1:15" ht="19" thickBot="1">
      <c r="B3" s="636" t="s">
        <v>1988</v>
      </c>
      <c r="C3" s="637"/>
      <c r="D3" s="637"/>
      <c r="E3" s="637"/>
      <c r="F3" s="637"/>
      <c r="G3" s="637"/>
      <c r="H3" s="637"/>
      <c r="I3" s="637"/>
      <c r="J3" s="638"/>
      <c r="K3" s="635" t="s">
        <v>363</v>
      </c>
      <c r="L3" s="376"/>
      <c r="M3" s="359"/>
      <c r="N3" s="359"/>
      <c r="O3" s="359"/>
    </row>
    <row r="4" spans="1:15" ht="14" thickTop="1">
      <c r="B4" s="1466" t="str">
        <f>IF('Primary Input'!E20&lt;1,"THIS SECTION IS NOT REQUIRED AS THERE ARE NO TAX CREDITS REQUESTED","")</f>
        <v>THIS SECTION IS NOT REQUIRED AS THERE ARE NO TAX CREDITS REQUESTED</v>
      </c>
      <c r="C4" s="1466"/>
      <c r="D4" s="1466"/>
      <c r="E4" s="1466"/>
      <c r="F4" s="1466"/>
      <c r="G4" s="1466"/>
      <c r="H4" s="1466"/>
      <c r="I4" s="1466"/>
      <c r="J4" s="1466"/>
      <c r="K4" s="359"/>
      <c r="L4" s="359"/>
      <c r="M4" s="359"/>
      <c r="N4" s="359"/>
      <c r="O4" s="359"/>
    </row>
    <row r="5" spans="1:15">
      <c r="B5" s="354" t="s">
        <v>1989</v>
      </c>
      <c r="C5" s="354"/>
      <c r="D5" s="354"/>
      <c r="E5" s="354"/>
      <c r="F5" s="354"/>
      <c r="G5" s="354"/>
      <c r="H5" s="354"/>
      <c r="I5" s="354"/>
      <c r="J5" s="354"/>
      <c r="K5" s="359"/>
      <c r="L5" s="359"/>
      <c r="M5" s="359"/>
      <c r="N5" s="359"/>
      <c r="O5" s="359"/>
    </row>
    <row r="6" spans="1:15">
      <c r="B6" s="354" t="s">
        <v>1990</v>
      </c>
      <c r="C6" s="354"/>
      <c r="D6" s="354"/>
      <c r="E6" s="354"/>
      <c r="F6" s="354"/>
      <c r="G6" s="354"/>
      <c r="H6" s="354"/>
      <c r="I6" s="354"/>
      <c r="J6" s="354"/>
      <c r="K6" s="359"/>
      <c r="L6" s="359"/>
      <c r="M6" s="359"/>
      <c r="N6" s="359"/>
      <c r="O6" s="359"/>
    </row>
    <row r="7" spans="1:15">
      <c r="B7" s="359"/>
      <c r="C7" s="359"/>
      <c r="D7" s="359"/>
      <c r="E7" s="359"/>
      <c r="F7" s="539"/>
      <c r="G7" s="359"/>
      <c r="H7" s="359"/>
      <c r="I7" s="359"/>
      <c r="J7" s="359"/>
      <c r="K7" s="359"/>
      <c r="L7" s="359"/>
      <c r="M7" s="359"/>
      <c r="N7" s="359"/>
      <c r="O7" s="359"/>
    </row>
    <row r="8" spans="1:15">
      <c r="B8" s="359" t="s">
        <v>179</v>
      </c>
      <c r="C8" s="360" t="s">
        <v>1991</v>
      </c>
      <c r="D8" s="359"/>
      <c r="E8" s="359"/>
      <c r="F8" s="359"/>
      <c r="G8" s="359"/>
      <c r="H8" s="359"/>
      <c r="I8" s="359"/>
      <c r="J8" s="359"/>
      <c r="K8" s="359"/>
      <c r="L8" s="359"/>
      <c r="M8" s="359"/>
      <c r="N8" s="359"/>
      <c r="O8" s="359"/>
    </row>
    <row r="9" spans="1:15">
      <c r="B9" s="359"/>
      <c r="C9" s="359"/>
      <c r="D9" s="359"/>
      <c r="E9" s="359"/>
      <c r="F9" s="359"/>
      <c r="G9" s="359"/>
      <c r="H9" s="359"/>
      <c r="I9" s="359"/>
      <c r="J9" s="359"/>
      <c r="K9" s="359"/>
      <c r="L9" s="359"/>
      <c r="M9" s="359"/>
      <c r="N9" s="359"/>
      <c r="O9" s="359"/>
    </row>
    <row r="10" spans="1:15">
      <c r="B10" s="359"/>
      <c r="C10" s="354" t="s">
        <v>1992</v>
      </c>
      <c r="D10" s="354"/>
      <c r="E10" s="354"/>
      <c r="F10" s="354"/>
      <c r="G10" s="354"/>
      <c r="H10" s="354"/>
      <c r="I10" s="354"/>
      <c r="J10" s="354"/>
      <c r="K10" s="359"/>
      <c r="L10" s="359"/>
      <c r="M10" s="359"/>
      <c r="N10" s="359"/>
      <c r="O10" s="359"/>
    </row>
    <row r="11" spans="1:15">
      <c r="B11" s="359"/>
      <c r="C11" s="354" t="s">
        <v>1993</v>
      </c>
      <c r="D11" s="354"/>
      <c r="E11" s="354"/>
      <c r="F11" s="354"/>
      <c r="G11" s="354"/>
      <c r="H11" s="354"/>
      <c r="I11" s="354"/>
      <c r="J11" s="354"/>
      <c r="K11" s="359"/>
      <c r="L11" s="359"/>
      <c r="M11" s="359"/>
      <c r="N11" s="359"/>
      <c r="O11" s="359"/>
    </row>
    <row r="12" spans="1:15">
      <c r="B12" s="359"/>
      <c r="C12" s="354" t="s">
        <v>1994</v>
      </c>
      <c r="D12" s="354"/>
      <c r="E12" s="354"/>
      <c r="F12" s="354"/>
      <c r="G12" s="354"/>
      <c r="H12" s="354"/>
      <c r="I12" s="354"/>
      <c r="J12" s="354"/>
      <c r="K12" s="359"/>
      <c r="L12" s="359"/>
      <c r="M12" s="359"/>
      <c r="N12" s="359"/>
      <c r="O12" s="359"/>
    </row>
    <row r="13" spans="1:15">
      <c r="B13" s="359"/>
      <c r="C13" s="354" t="s">
        <v>1995</v>
      </c>
      <c r="D13" s="354"/>
      <c r="E13" s="354"/>
      <c r="F13" s="354"/>
      <c r="G13" s="354"/>
      <c r="H13" s="354"/>
      <c r="I13" s="354"/>
      <c r="J13" s="354"/>
      <c r="K13" s="359"/>
      <c r="L13" s="359"/>
      <c r="M13" s="359"/>
      <c r="N13" s="359"/>
      <c r="O13" s="359"/>
    </row>
    <row r="14" spans="1:15">
      <c r="B14" s="359"/>
      <c r="C14" s="359"/>
      <c r="D14" s="359"/>
      <c r="E14" s="359"/>
      <c r="F14" s="359"/>
      <c r="G14" s="359"/>
      <c r="H14" s="359"/>
      <c r="I14" s="359"/>
      <c r="J14" s="359"/>
      <c r="K14" s="359"/>
      <c r="L14" s="359"/>
      <c r="M14" s="359"/>
      <c r="N14" s="359"/>
      <c r="O14" s="359"/>
    </row>
    <row r="15" spans="1:15">
      <c r="B15" s="359"/>
      <c r="C15" s="359" t="s">
        <v>303</v>
      </c>
      <c r="D15" s="359" t="s">
        <v>1996</v>
      </c>
      <c r="E15" s="359"/>
      <c r="F15" s="359"/>
      <c r="G15" s="359"/>
      <c r="H15" s="359"/>
      <c r="I15" s="359"/>
      <c r="J15" s="359"/>
      <c r="K15" s="359"/>
      <c r="L15" s="359"/>
      <c r="M15" s="359"/>
      <c r="N15" s="359"/>
      <c r="O15" s="359"/>
    </row>
    <row r="16" spans="1:15">
      <c r="B16" s="359"/>
      <c r="C16" s="359"/>
      <c r="D16" s="359"/>
      <c r="E16" s="359"/>
      <c r="F16" s="359"/>
      <c r="G16" s="359"/>
      <c r="H16" s="359"/>
      <c r="I16" s="359"/>
      <c r="J16" s="359"/>
      <c r="K16" s="359"/>
      <c r="L16" s="359"/>
      <c r="M16" s="359"/>
      <c r="N16" s="359"/>
      <c r="O16" s="359"/>
    </row>
    <row r="17" spans="2:15">
      <c r="B17" s="359"/>
      <c r="C17" s="359"/>
      <c r="D17" s="359" t="s">
        <v>1997</v>
      </c>
      <c r="E17" s="1475"/>
      <c r="F17" s="1475"/>
      <c r="G17" s="1475"/>
      <c r="H17" s="1475"/>
      <c r="I17" s="1475"/>
      <c r="J17" s="639"/>
      <c r="K17" s="359"/>
      <c r="L17" s="359"/>
      <c r="M17" s="359"/>
      <c r="N17" s="359"/>
      <c r="O17" s="359"/>
    </row>
    <row r="18" spans="2:15">
      <c r="B18" s="359"/>
      <c r="C18" s="359"/>
      <c r="D18" s="359" t="s">
        <v>1998</v>
      </c>
      <c r="E18" s="1475"/>
      <c r="F18" s="1475"/>
      <c r="G18" s="1475"/>
      <c r="H18" s="1475"/>
      <c r="I18" s="1475"/>
      <c r="J18" s="639"/>
      <c r="K18" s="359"/>
      <c r="L18" s="359"/>
      <c r="M18" s="359"/>
      <c r="N18" s="359"/>
      <c r="O18" s="359"/>
    </row>
    <row r="19" spans="2:15">
      <c r="B19" s="359"/>
      <c r="C19" s="359"/>
      <c r="D19" s="359"/>
      <c r="E19" s="359"/>
      <c r="F19" s="359"/>
      <c r="G19" s="359"/>
      <c r="H19" s="359"/>
      <c r="I19" s="359"/>
      <c r="J19" s="359"/>
      <c r="K19" s="359"/>
      <c r="L19" s="359"/>
      <c r="M19" s="359"/>
      <c r="N19" s="359"/>
      <c r="O19" s="359"/>
    </row>
    <row r="20" spans="2:15">
      <c r="B20" s="359"/>
      <c r="C20" s="359"/>
      <c r="D20" s="359" t="s">
        <v>1999</v>
      </c>
      <c r="E20" s="359"/>
      <c r="F20" s="585"/>
      <c r="G20" s="640"/>
      <c r="H20" s="640" t="s">
        <v>2000</v>
      </c>
      <c r="I20" s="584"/>
      <c r="J20" s="359"/>
      <c r="K20" s="359"/>
      <c r="L20" s="359"/>
      <c r="M20" s="359"/>
      <c r="N20" s="359"/>
      <c r="O20" s="359"/>
    </row>
    <row r="21" spans="2:15">
      <c r="B21" s="359"/>
      <c r="C21" s="359"/>
      <c r="D21" s="359" t="s">
        <v>2001</v>
      </c>
      <c r="E21" s="1467"/>
      <c r="F21" s="1476"/>
      <c r="G21" s="1476"/>
      <c r="H21" s="359"/>
      <c r="I21" s="359"/>
      <c r="J21" s="359"/>
      <c r="K21" s="359"/>
      <c r="L21" s="359"/>
      <c r="M21" s="359"/>
      <c r="N21" s="359"/>
      <c r="O21" s="359"/>
    </row>
    <row r="22" spans="2:15">
      <c r="B22" s="359"/>
      <c r="C22" s="361"/>
      <c r="D22" s="359"/>
      <c r="E22" s="359"/>
      <c r="F22" s="359"/>
      <c r="G22" s="359"/>
      <c r="H22" s="359"/>
      <c r="I22" s="359"/>
      <c r="J22" s="359"/>
      <c r="K22" s="359"/>
      <c r="L22" s="359"/>
      <c r="M22" s="359"/>
      <c r="N22" s="359"/>
      <c r="O22" s="359"/>
    </row>
    <row r="23" spans="2:15">
      <c r="B23" s="359"/>
      <c r="C23" s="359" t="s">
        <v>2002</v>
      </c>
      <c r="D23" s="359"/>
      <c r="E23" s="359"/>
      <c r="F23" s="359"/>
      <c r="G23" s="359"/>
      <c r="H23" s="359"/>
      <c r="I23" s="359"/>
      <c r="J23" s="359"/>
      <c r="K23" s="359"/>
      <c r="L23" s="359"/>
      <c r="M23" s="359"/>
      <c r="N23" s="359"/>
      <c r="O23" s="359"/>
    </row>
    <row r="24" spans="2:15">
      <c r="B24" s="359"/>
      <c r="C24" s="359"/>
      <c r="D24" s="359"/>
      <c r="E24" s="359"/>
      <c r="F24" s="359"/>
      <c r="G24" s="359"/>
      <c r="H24" s="359"/>
      <c r="I24" s="359"/>
      <c r="J24" s="359"/>
      <c r="K24" s="359"/>
      <c r="L24" s="359"/>
      <c r="M24" s="359"/>
      <c r="N24" s="359"/>
      <c r="O24" s="359"/>
    </row>
    <row r="25" spans="2:15">
      <c r="B25" s="359"/>
      <c r="C25" s="362" t="s">
        <v>304</v>
      </c>
      <c r="D25" s="354" t="s">
        <v>692</v>
      </c>
      <c r="E25" s="354"/>
      <c r="F25" s="354"/>
      <c r="G25" s="354"/>
      <c r="H25" s="354"/>
      <c r="I25" s="354"/>
      <c r="J25" s="586"/>
      <c r="K25" s="359"/>
      <c r="L25" s="359"/>
      <c r="M25" s="359"/>
      <c r="N25" s="359"/>
      <c r="O25" s="359"/>
    </row>
    <row r="26" spans="2:15">
      <c r="B26" s="359"/>
      <c r="C26" s="362"/>
      <c r="D26" s="359"/>
      <c r="E26" s="359"/>
      <c r="F26" s="359"/>
      <c r="G26" s="359"/>
      <c r="H26" s="359"/>
      <c r="I26" s="359"/>
      <c r="J26" s="641"/>
      <c r="K26" s="359"/>
      <c r="L26" s="359"/>
      <c r="M26" s="359"/>
      <c r="N26" s="359"/>
      <c r="O26" s="359"/>
    </row>
    <row r="27" spans="2:15">
      <c r="B27" s="359"/>
      <c r="C27" s="362" t="s">
        <v>229</v>
      </c>
      <c r="D27" s="354" t="s">
        <v>693</v>
      </c>
      <c r="E27" s="354"/>
      <c r="F27" s="354"/>
      <c r="G27" s="354"/>
      <c r="H27" s="354"/>
      <c r="I27" s="354"/>
      <c r="J27" s="586">
        <f>1-J25</f>
        <v>1</v>
      </c>
      <c r="K27" s="359"/>
      <c r="L27" s="359"/>
      <c r="M27" s="359"/>
      <c r="N27" s="359"/>
      <c r="O27" s="359"/>
    </row>
    <row r="28" spans="2:15">
      <c r="B28" s="359"/>
      <c r="C28" s="362"/>
      <c r="D28" s="359"/>
      <c r="E28" s="359"/>
      <c r="F28" s="359"/>
      <c r="G28" s="359"/>
      <c r="H28" s="359"/>
      <c r="I28" s="359"/>
      <c r="J28" s="359"/>
      <c r="K28" s="359"/>
      <c r="L28" s="359"/>
      <c r="M28" s="359"/>
      <c r="N28" s="359"/>
      <c r="O28" s="359"/>
    </row>
    <row r="29" spans="2:15">
      <c r="B29" s="359"/>
      <c r="C29" s="362" t="s">
        <v>230</v>
      </c>
      <c r="D29" s="354" t="s">
        <v>694</v>
      </c>
      <c r="E29" s="354"/>
      <c r="F29" s="354"/>
      <c r="G29" s="354"/>
      <c r="H29" s="354"/>
      <c r="I29" s="354"/>
      <c r="J29" s="368">
        <f>+credits</f>
        <v>0</v>
      </c>
      <c r="K29" s="359"/>
      <c r="L29" s="359"/>
      <c r="M29" s="359"/>
      <c r="N29" s="359"/>
      <c r="O29" s="359"/>
    </row>
    <row r="30" spans="2:15">
      <c r="B30" s="359"/>
      <c r="C30" s="362"/>
      <c r="D30" s="359"/>
      <c r="E30" s="359"/>
      <c r="F30" s="359"/>
      <c r="G30" s="359"/>
      <c r="H30" s="359"/>
      <c r="I30" s="359"/>
      <c r="J30" s="642"/>
      <c r="K30" s="359"/>
      <c r="L30" s="359"/>
      <c r="M30" s="359"/>
      <c r="N30" s="359"/>
      <c r="O30" s="359"/>
    </row>
    <row r="31" spans="2:15">
      <c r="B31" s="359"/>
      <c r="C31" s="362" t="s">
        <v>175</v>
      </c>
      <c r="D31" s="354" t="s">
        <v>695</v>
      </c>
      <c r="E31" s="354"/>
      <c r="F31" s="354"/>
      <c r="G31" s="354"/>
      <c r="H31" s="354"/>
      <c r="I31" s="354"/>
      <c r="J31" s="359"/>
      <c r="K31" s="359"/>
      <c r="L31" s="359"/>
      <c r="M31" s="359"/>
      <c r="N31" s="359"/>
      <c r="O31" s="359"/>
    </row>
    <row r="32" spans="2:15">
      <c r="B32" s="359"/>
      <c r="C32" s="362"/>
      <c r="D32" s="359" t="s">
        <v>696</v>
      </c>
      <c r="E32" s="359"/>
      <c r="F32" s="359"/>
      <c r="G32" s="359"/>
      <c r="H32" s="359"/>
      <c r="I32" s="359"/>
      <c r="J32" s="368">
        <v>0</v>
      </c>
      <c r="K32" s="359"/>
      <c r="L32" s="359"/>
      <c r="M32" s="359"/>
      <c r="N32" s="359"/>
      <c r="O32" s="359"/>
    </row>
    <row r="33" spans="2:15">
      <c r="B33" s="359"/>
      <c r="C33" s="362"/>
      <c r="D33" s="359"/>
      <c r="E33" s="359"/>
      <c r="F33" s="359"/>
      <c r="G33" s="359"/>
      <c r="H33" s="359"/>
      <c r="I33" s="359"/>
      <c r="J33" s="643"/>
      <c r="K33" s="359"/>
      <c r="L33" s="359"/>
      <c r="M33" s="359"/>
      <c r="N33" s="359"/>
      <c r="O33" s="359"/>
    </row>
    <row r="34" spans="2:15">
      <c r="B34" s="359"/>
      <c r="C34" s="362" t="s">
        <v>176</v>
      </c>
      <c r="D34" s="354" t="s">
        <v>697</v>
      </c>
      <c r="E34" s="354"/>
      <c r="F34" s="354"/>
      <c r="G34" s="354"/>
      <c r="H34" s="354"/>
      <c r="I34" s="354"/>
      <c r="J34" s="368">
        <f>+syn_Ie</f>
        <v>0</v>
      </c>
      <c r="K34" s="359"/>
      <c r="L34" s="359"/>
      <c r="M34" s="359"/>
      <c r="N34" s="359"/>
      <c r="O34" s="359"/>
    </row>
    <row r="35" spans="2:15">
      <c r="B35" s="359"/>
      <c r="C35" s="362"/>
      <c r="D35" s="359"/>
      <c r="E35" s="359"/>
      <c r="F35" s="359"/>
      <c r="G35" s="359"/>
      <c r="H35" s="359"/>
      <c r="I35" s="359"/>
      <c r="J35" s="642"/>
      <c r="K35" s="359"/>
      <c r="L35" s="359"/>
      <c r="M35" s="359"/>
      <c r="N35" s="359"/>
      <c r="O35" s="359"/>
    </row>
    <row r="36" spans="2:15">
      <c r="B36" s="359"/>
      <c r="C36" s="362" t="s">
        <v>177</v>
      </c>
      <c r="D36" s="354" t="s">
        <v>2011</v>
      </c>
      <c r="E36" s="354"/>
      <c r="F36" s="354"/>
      <c r="G36" s="354"/>
      <c r="H36" s="354"/>
      <c r="I36" s="354"/>
      <c r="J36" s="369">
        <f>J32-J34</f>
        <v>0</v>
      </c>
      <c r="K36" s="359"/>
      <c r="L36" s="359"/>
      <c r="M36" s="359"/>
      <c r="N36" s="359"/>
      <c r="O36" s="359"/>
    </row>
    <row r="37" spans="2:15">
      <c r="B37" s="359"/>
      <c r="C37" s="362"/>
      <c r="D37" s="359"/>
      <c r="E37" s="359"/>
      <c r="F37" s="359"/>
      <c r="G37" s="359"/>
      <c r="H37" s="359"/>
      <c r="I37" s="359"/>
      <c r="J37" s="644"/>
      <c r="K37" s="359"/>
      <c r="L37" s="359"/>
      <c r="M37" s="359"/>
      <c r="N37" s="359"/>
      <c r="O37" s="359"/>
    </row>
    <row r="38" spans="2:15">
      <c r="B38" s="359"/>
      <c r="C38" s="362" t="s">
        <v>178</v>
      </c>
      <c r="D38" s="359" t="s">
        <v>1298</v>
      </c>
      <c r="E38" s="359"/>
      <c r="F38" s="359"/>
      <c r="G38" s="359"/>
      <c r="H38" s="359"/>
      <c r="I38" s="359"/>
      <c r="J38" s="370">
        <f>+J163</f>
        <v>0</v>
      </c>
      <c r="K38" s="359"/>
      <c r="L38" s="359"/>
      <c r="M38" s="359"/>
      <c r="N38" s="359"/>
      <c r="O38" s="359"/>
    </row>
    <row r="39" spans="2:15">
      <c r="B39" s="359"/>
      <c r="C39" s="362"/>
      <c r="D39" s="359"/>
      <c r="E39" s="359"/>
      <c r="F39" s="359"/>
      <c r="G39" s="359"/>
      <c r="H39" s="359"/>
      <c r="I39" s="359"/>
      <c r="J39" s="644"/>
      <c r="K39" s="359"/>
      <c r="L39" s="359"/>
      <c r="M39" s="359"/>
      <c r="N39" s="359"/>
      <c r="O39" s="359"/>
    </row>
    <row r="40" spans="2:15">
      <c r="B40" s="359"/>
      <c r="C40" s="362" t="s">
        <v>179</v>
      </c>
      <c r="D40" s="359" t="s">
        <v>2014</v>
      </c>
      <c r="E40" s="359"/>
      <c r="F40" s="359"/>
      <c r="G40" s="359"/>
      <c r="H40" s="359"/>
      <c r="I40" s="359"/>
      <c r="J40" s="370">
        <f>+J36+J38</f>
        <v>0</v>
      </c>
      <c r="K40" s="359"/>
      <c r="L40" s="359"/>
      <c r="M40" s="359"/>
      <c r="N40" s="359"/>
      <c r="O40" s="359"/>
    </row>
    <row r="41" spans="2:15">
      <c r="B41" s="359"/>
      <c r="C41" s="362"/>
      <c r="D41" s="359"/>
      <c r="E41" s="359"/>
      <c r="F41" s="359"/>
      <c r="G41" s="359"/>
      <c r="H41" s="359"/>
      <c r="I41" s="359"/>
      <c r="J41" s="644"/>
      <c r="K41" s="359"/>
      <c r="L41" s="359"/>
      <c r="M41" s="359"/>
      <c r="N41" s="359"/>
      <c r="O41" s="359"/>
    </row>
    <row r="42" spans="2:15">
      <c r="B42" s="359"/>
      <c r="C42" s="362" t="s">
        <v>180</v>
      </c>
      <c r="D42" s="359" t="s">
        <v>796</v>
      </c>
      <c r="E42" s="359"/>
      <c r="F42" s="359"/>
      <c r="G42" s="359"/>
      <c r="H42" s="359"/>
      <c r="I42" s="359"/>
      <c r="J42" s="371">
        <f>IF(J32&gt;0, J40/J32, 0)</f>
        <v>0</v>
      </c>
      <c r="K42" s="359"/>
      <c r="L42" s="359"/>
      <c r="M42" s="359"/>
      <c r="N42" s="359"/>
      <c r="O42" s="359"/>
    </row>
    <row r="43" spans="2:15">
      <c r="B43" s="359"/>
      <c r="C43" s="362"/>
      <c r="D43" s="359"/>
      <c r="E43" s="359"/>
      <c r="F43" s="359"/>
      <c r="G43" s="359"/>
      <c r="H43" s="359"/>
      <c r="I43" s="359"/>
      <c r="J43" s="644"/>
      <c r="K43" s="359"/>
      <c r="L43" s="359"/>
      <c r="M43" s="359"/>
      <c r="N43" s="359"/>
      <c r="O43" s="359"/>
    </row>
    <row r="44" spans="2:15">
      <c r="B44" s="359"/>
      <c r="C44" s="362" t="s">
        <v>181</v>
      </c>
      <c r="D44" s="359" t="s">
        <v>797</v>
      </c>
      <c r="E44" s="359"/>
      <c r="F44" s="359"/>
      <c r="G44" s="359"/>
      <c r="H44" s="359"/>
      <c r="I44" s="359"/>
      <c r="J44" s="369">
        <f>+syn_If-J38</f>
        <v>0</v>
      </c>
      <c r="K44" s="359"/>
      <c r="L44" s="359"/>
      <c r="M44" s="359"/>
      <c r="N44" s="359"/>
      <c r="O44" s="359"/>
    </row>
    <row r="45" spans="2:15">
      <c r="B45" s="359"/>
      <c r="C45" s="362"/>
      <c r="D45" s="359"/>
      <c r="E45" s="359"/>
      <c r="F45" s="359"/>
      <c r="G45" s="359"/>
      <c r="H45" s="359"/>
      <c r="I45" s="359"/>
      <c r="J45" s="748"/>
      <c r="K45" s="359"/>
      <c r="L45" s="359"/>
      <c r="M45" s="359"/>
      <c r="N45" s="359"/>
      <c r="O45" s="359"/>
    </row>
    <row r="46" spans="2:15">
      <c r="B46" s="359"/>
      <c r="C46" s="362" t="s">
        <v>182</v>
      </c>
      <c r="D46" s="359" t="s">
        <v>742</v>
      </c>
      <c r="E46" s="359"/>
      <c r="F46" s="359"/>
      <c r="G46" s="359"/>
      <c r="H46" s="359"/>
      <c r="I46" s="359"/>
      <c r="J46" s="368"/>
      <c r="K46" s="359"/>
      <c r="L46" s="359"/>
      <c r="M46" s="359"/>
      <c r="N46" s="359"/>
      <c r="O46" s="359"/>
    </row>
    <row r="47" spans="2:15">
      <c r="B47" s="359"/>
      <c r="C47" s="362"/>
      <c r="D47" s="359"/>
      <c r="E47" s="359"/>
      <c r="F47" s="359"/>
      <c r="G47" s="359"/>
      <c r="H47" s="359"/>
      <c r="I47" s="359"/>
      <c r="J47" s="748"/>
      <c r="K47" s="359"/>
      <c r="L47" s="359"/>
      <c r="M47" s="359"/>
      <c r="N47" s="359"/>
      <c r="O47" s="359"/>
    </row>
    <row r="48" spans="2:15">
      <c r="B48" s="359"/>
      <c r="C48" s="362" t="s">
        <v>183</v>
      </c>
      <c r="D48" s="359" t="s">
        <v>51</v>
      </c>
      <c r="E48" s="359"/>
      <c r="F48" s="359"/>
      <c r="G48" s="359"/>
      <c r="H48" s="359"/>
      <c r="I48" s="359"/>
      <c r="J48" s="817"/>
      <c r="K48" s="359"/>
      <c r="L48" s="359"/>
      <c r="M48" s="359"/>
      <c r="N48" s="359"/>
      <c r="O48" s="359"/>
    </row>
    <row r="49" spans="2:15">
      <c r="B49" s="359"/>
      <c r="C49" s="359"/>
      <c r="D49" s="799" t="s">
        <v>52</v>
      </c>
      <c r="E49" s="359"/>
      <c r="F49" s="645" t="str">
        <f>IF(syn_public_offer&lt;&gt;"", IF(syn_Ij&gt;0.15, "Syndication Expenses exceed allowable percentage!", ""), IF(syn_Ij&gt;0.1, "Syndication Expenses exceed allowable percentage!", ""))</f>
        <v/>
      </c>
      <c r="G49" s="359"/>
      <c r="H49" s="359"/>
      <c r="I49" s="359"/>
      <c r="J49" s="644"/>
      <c r="K49" s="359"/>
      <c r="L49" s="359"/>
      <c r="M49" s="359"/>
      <c r="N49" s="359"/>
      <c r="O49" s="359"/>
    </row>
    <row r="50" spans="2:15">
      <c r="B50" s="359"/>
      <c r="C50" s="359" t="s">
        <v>798</v>
      </c>
      <c r="D50" s="359"/>
      <c r="E50" s="359"/>
      <c r="F50" s="359"/>
      <c r="G50" s="359"/>
      <c r="H50" s="359"/>
      <c r="I50" s="359"/>
      <c r="J50" s="359"/>
      <c r="K50" s="359"/>
      <c r="L50" s="359"/>
      <c r="M50" s="359"/>
      <c r="N50" s="359"/>
      <c r="O50" s="359"/>
    </row>
    <row r="51" spans="2:15">
      <c r="B51" s="359"/>
      <c r="C51" s="354" t="s">
        <v>799</v>
      </c>
      <c r="D51" s="354"/>
      <c r="E51" s="354"/>
      <c r="F51" s="354"/>
      <c r="G51" s="354"/>
      <c r="H51" s="354"/>
      <c r="I51" s="354"/>
      <c r="J51" s="359"/>
      <c r="K51" s="359"/>
      <c r="L51" s="359"/>
      <c r="M51" s="359"/>
      <c r="N51" s="359"/>
      <c r="O51" s="359"/>
    </row>
    <row r="52" spans="2:15">
      <c r="B52" s="359"/>
      <c r="C52" s="359"/>
      <c r="D52" s="359"/>
      <c r="E52" s="359"/>
      <c r="F52" s="359"/>
      <c r="G52" s="359"/>
      <c r="H52" s="359"/>
      <c r="I52" s="359"/>
      <c r="J52" s="359"/>
      <c r="K52" s="359"/>
      <c r="L52" s="359"/>
      <c r="M52" s="359"/>
      <c r="N52" s="359"/>
      <c r="O52" s="359"/>
    </row>
    <row r="53" spans="2:15">
      <c r="B53" s="359" t="s">
        <v>198</v>
      </c>
      <c r="C53" s="360" t="s">
        <v>800</v>
      </c>
      <c r="D53" s="359"/>
      <c r="E53" s="359"/>
      <c r="F53" s="359"/>
      <c r="G53" s="359"/>
      <c r="H53" s="359"/>
      <c r="I53" s="359"/>
      <c r="J53" s="359"/>
      <c r="K53" s="359"/>
      <c r="L53" s="359"/>
      <c r="M53" s="359"/>
      <c r="N53" s="359"/>
      <c r="O53" s="359"/>
    </row>
    <row r="54" spans="2:15">
      <c r="B54" s="359"/>
      <c r="C54" s="359"/>
      <c r="D54" s="359"/>
      <c r="E54" s="359"/>
      <c r="F54" s="359"/>
      <c r="G54" s="359"/>
      <c r="H54" s="359"/>
      <c r="I54" s="359"/>
      <c r="J54" s="359"/>
      <c r="K54" s="359"/>
      <c r="L54" s="359"/>
      <c r="M54" s="359"/>
      <c r="N54" s="359"/>
      <c r="O54" s="359"/>
    </row>
    <row r="55" spans="2:15">
      <c r="B55" s="359"/>
      <c r="C55" s="354" t="s">
        <v>1154</v>
      </c>
      <c r="D55" s="354"/>
      <c r="E55" s="354"/>
      <c r="F55" s="354"/>
      <c r="G55" s="354"/>
      <c r="H55" s="354"/>
      <c r="I55" s="354"/>
      <c r="J55" s="354"/>
      <c r="K55" s="359"/>
      <c r="L55" s="359"/>
      <c r="M55" s="359"/>
      <c r="N55" s="359"/>
      <c r="O55" s="359"/>
    </row>
    <row r="56" spans="2:15">
      <c r="B56" s="359"/>
      <c r="C56" s="359"/>
      <c r="D56" s="359"/>
      <c r="E56" s="359"/>
      <c r="F56" s="359"/>
      <c r="G56" s="359"/>
      <c r="H56" s="359"/>
      <c r="I56" s="359"/>
      <c r="J56" s="359"/>
      <c r="K56" s="359"/>
      <c r="L56" s="359"/>
      <c r="M56" s="359"/>
      <c r="N56" s="359"/>
      <c r="O56" s="359"/>
    </row>
    <row r="57" spans="2:15">
      <c r="B57" s="359"/>
      <c r="C57" s="359"/>
      <c r="D57" s="359"/>
      <c r="E57" s="359"/>
      <c r="F57" s="359"/>
      <c r="G57" s="376" t="s">
        <v>1155</v>
      </c>
      <c r="H57" s="376"/>
      <c r="I57" s="359"/>
      <c r="J57" s="442"/>
      <c r="K57" s="359"/>
      <c r="L57" s="539"/>
      <c r="M57" s="539"/>
      <c r="N57" s="539"/>
      <c r="O57" s="539"/>
    </row>
    <row r="58" spans="2:15">
      <c r="B58" s="359"/>
      <c r="C58" s="646" t="s">
        <v>1156</v>
      </c>
      <c r="D58" s="376"/>
      <c r="E58" s="376"/>
      <c r="F58" s="647" t="s">
        <v>1157</v>
      </c>
      <c r="G58" s="646" t="s">
        <v>1158</v>
      </c>
      <c r="H58" s="376"/>
      <c r="I58" s="647" t="s">
        <v>1159</v>
      </c>
      <c r="J58" s="374" t="e">
        <f>Cover!$H$6</f>
        <v>#N/A</v>
      </c>
      <c r="K58" s="359"/>
      <c r="L58" s="648"/>
      <c r="M58" s="648"/>
      <c r="N58" s="648"/>
      <c r="O58" s="648"/>
    </row>
    <row r="59" spans="2:15">
      <c r="B59" s="359"/>
      <c r="C59" s="376"/>
      <c r="D59" s="376"/>
      <c r="E59" s="376"/>
      <c r="F59" s="359"/>
      <c r="G59" s="376"/>
      <c r="H59" s="376"/>
      <c r="I59" s="359"/>
      <c r="J59" s="359"/>
      <c r="K59" s="359"/>
      <c r="L59" s="648" t="s">
        <v>1160</v>
      </c>
      <c r="M59" s="648"/>
      <c r="N59" s="648"/>
      <c r="O59" s="648"/>
    </row>
    <row r="60" spans="2:15">
      <c r="B60" s="364" t="s">
        <v>1161</v>
      </c>
      <c r="C60" s="1472"/>
      <c r="D60" s="1472"/>
      <c r="E60" s="1472"/>
      <c r="F60" s="366"/>
      <c r="G60" s="1473"/>
      <c r="H60" s="1474"/>
      <c r="I60" s="367">
        <f>G60*$J$34</f>
        <v>0</v>
      </c>
      <c r="J60" s="359"/>
      <c r="K60" s="359"/>
      <c r="L60" s="649">
        <f>+I60/(1+(0.05361/2))^(DAYS360(Syndication!$I$171,F60)/180)</f>
        <v>0</v>
      </c>
      <c r="M60" s="649">
        <f>IF(F60&lt;$I$171,L60,0)</f>
        <v>0</v>
      </c>
      <c r="N60" s="649">
        <f t="shared" ref="N60:N74" si="0">IF(F60&gt;=$I$171,L60,0)</f>
        <v>0</v>
      </c>
      <c r="O60" s="648"/>
    </row>
    <row r="61" spans="2:15">
      <c r="B61" s="364" t="s">
        <v>1868</v>
      </c>
      <c r="C61" s="1472"/>
      <c r="D61" s="1472"/>
      <c r="E61" s="1472"/>
      <c r="F61" s="366"/>
      <c r="G61" s="1473"/>
      <c r="H61" s="1474"/>
      <c r="I61" s="367">
        <f t="shared" ref="I61:I74" si="1">G61*$J$34</f>
        <v>0</v>
      </c>
      <c r="J61" s="359"/>
      <c r="K61" s="359"/>
      <c r="L61" s="649">
        <f>+I61/(1+(0.05361/2))^(DAYS360(Syndication!$I$171,F61)/180)</f>
        <v>0</v>
      </c>
      <c r="M61" s="649">
        <f t="shared" ref="M61:M74" si="2">IF(F61&lt;$I$171,L61,0)</f>
        <v>0</v>
      </c>
      <c r="N61" s="649">
        <f t="shared" si="0"/>
        <v>0</v>
      </c>
      <c r="O61" s="648"/>
    </row>
    <row r="62" spans="2:15">
      <c r="B62" s="364" t="s">
        <v>1869</v>
      </c>
      <c r="C62" s="1472"/>
      <c r="D62" s="1472"/>
      <c r="E62" s="1472"/>
      <c r="F62" s="366"/>
      <c r="G62" s="1473"/>
      <c r="H62" s="1474"/>
      <c r="I62" s="367">
        <f t="shared" si="1"/>
        <v>0</v>
      </c>
      <c r="J62" s="359"/>
      <c r="K62" s="359"/>
      <c r="L62" s="649">
        <f>+I62/(1+(0.05361/2))^(DAYS360(Syndication!$I$171,F62)/180)</f>
        <v>0</v>
      </c>
      <c r="M62" s="649">
        <f t="shared" si="2"/>
        <v>0</v>
      </c>
      <c r="N62" s="649">
        <f t="shared" si="0"/>
        <v>0</v>
      </c>
      <c r="O62" s="648"/>
    </row>
    <row r="63" spans="2:15">
      <c r="B63" s="364" t="s">
        <v>1870</v>
      </c>
      <c r="C63" s="1472"/>
      <c r="D63" s="1472"/>
      <c r="E63" s="1472"/>
      <c r="F63" s="366"/>
      <c r="G63" s="1473"/>
      <c r="H63" s="1474"/>
      <c r="I63" s="367">
        <f t="shared" si="1"/>
        <v>0</v>
      </c>
      <c r="J63" s="359"/>
      <c r="K63" s="359"/>
      <c r="L63" s="649">
        <f>+I63/(1+(0.05361/2))^(DAYS360(Syndication!$I$171,F63)/180)</f>
        <v>0</v>
      </c>
      <c r="M63" s="649">
        <f t="shared" si="2"/>
        <v>0</v>
      </c>
      <c r="N63" s="649">
        <f t="shared" si="0"/>
        <v>0</v>
      </c>
      <c r="O63" s="648"/>
    </row>
    <row r="64" spans="2:15">
      <c r="B64" s="364" t="s">
        <v>1871</v>
      </c>
      <c r="C64" s="1472"/>
      <c r="D64" s="1472"/>
      <c r="E64" s="1472"/>
      <c r="F64" s="366"/>
      <c r="G64" s="1473"/>
      <c r="H64" s="1474"/>
      <c r="I64" s="367">
        <f t="shared" si="1"/>
        <v>0</v>
      </c>
      <c r="J64" s="359"/>
      <c r="K64" s="359"/>
      <c r="L64" s="649">
        <f>+I64/(1+(0.05361/2))^(DAYS360(Syndication!$I$171,F64)/180)</f>
        <v>0</v>
      </c>
      <c r="M64" s="649">
        <f t="shared" si="2"/>
        <v>0</v>
      </c>
      <c r="N64" s="649">
        <f t="shared" si="0"/>
        <v>0</v>
      </c>
      <c r="O64" s="648"/>
    </row>
    <row r="65" spans="2:15">
      <c r="B65" s="364" t="s">
        <v>1872</v>
      </c>
      <c r="C65" s="1472"/>
      <c r="D65" s="1472"/>
      <c r="E65" s="1472"/>
      <c r="F65" s="366"/>
      <c r="G65" s="1473"/>
      <c r="H65" s="1474"/>
      <c r="I65" s="367">
        <f t="shared" si="1"/>
        <v>0</v>
      </c>
      <c r="J65" s="359"/>
      <c r="K65" s="359"/>
      <c r="L65" s="649">
        <f>+I65/(1+(0.05361/2))^(DAYS360(Syndication!$I$171,F65)/180)</f>
        <v>0</v>
      </c>
      <c r="M65" s="649">
        <f t="shared" si="2"/>
        <v>0</v>
      </c>
      <c r="N65" s="649">
        <f t="shared" si="0"/>
        <v>0</v>
      </c>
      <c r="O65" s="648"/>
    </row>
    <row r="66" spans="2:15">
      <c r="B66" s="364" t="s">
        <v>1873</v>
      </c>
      <c r="C66" s="1472"/>
      <c r="D66" s="1472"/>
      <c r="E66" s="1472"/>
      <c r="F66" s="366"/>
      <c r="G66" s="1473"/>
      <c r="H66" s="1474"/>
      <c r="I66" s="367">
        <f t="shared" si="1"/>
        <v>0</v>
      </c>
      <c r="J66" s="359"/>
      <c r="K66" s="359"/>
      <c r="L66" s="649">
        <f>+I66/(1+(0.05361/2))^(DAYS360(Syndication!$I$171,F66)/180)</f>
        <v>0</v>
      </c>
      <c r="M66" s="649">
        <f t="shared" si="2"/>
        <v>0</v>
      </c>
      <c r="N66" s="649">
        <f t="shared" si="0"/>
        <v>0</v>
      </c>
      <c r="O66" s="648"/>
    </row>
    <row r="67" spans="2:15">
      <c r="B67" s="364" t="s">
        <v>1874</v>
      </c>
      <c r="C67" s="1472"/>
      <c r="D67" s="1472"/>
      <c r="E67" s="1472"/>
      <c r="F67" s="366"/>
      <c r="G67" s="1473"/>
      <c r="H67" s="1474"/>
      <c r="I67" s="367">
        <f t="shared" si="1"/>
        <v>0</v>
      </c>
      <c r="J67" s="359"/>
      <c r="K67" s="359"/>
      <c r="L67" s="649">
        <f>+I67/(1+(0.05361/2))^(DAYS360(Syndication!$I$171,F67)/180)</f>
        <v>0</v>
      </c>
      <c r="M67" s="649">
        <f t="shared" si="2"/>
        <v>0</v>
      </c>
      <c r="N67" s="649">
        <f t="shared" si="0"/>
        <v>0</v>
      </c>
      <c r="O67" s="648"/>
    </row>
    <row r="68" spans="2:15">
      <c r="B68" s="364" t="s">
        <v>1875</v>
      </c>
      <c r="C68" s="1472"/>
      <c r="D68" s="1472"/>
      <c r="E68" s="1472"/>
      <c r="F68" s="366"/>
      <c r="G68" s="1473"/>
      <c r="H68" s="1474"/>
      <c r="I68" s="367">
        <f t="shared" si="1"/>
        <v>0</v>
      </c>
      <c r="J68" s="359"/>
      <c r="K68" s="359"/>
      <c r="L68" s="649">
        <f>+I68/(1+(0.05361/2))^(DAYS360(Syndication!$I$171,F68)/180)</f>
        <v>0</v>
      </c>
      <c r="M68" s="649">
        <f t="shared" si="2"/>
        <v>0</v>
      </c>
      <c r="N68" s="649">
        <f t="shared" si="0"/>
        <v>0</v>
      </c>
      <c r="O68" s="648"/>
    </row>
    <row r="69" spans="2:15">
      <c r="B69" s="364" t="s">
        <v>1876</v>
      </c>
      <c r="C69" s="1472"/>
      <c r="D69" s="1472"/>
      <c r="E69" s="1472"/>
      <c r="F69" s="366"/>
      <c r="G69" s="1473"/>
      <c r="H69" s="1474"/>
      <c r="I69" s="367">
        <f t="shared" si="1"/>
        <v>0</v>
      </c>
      <c r="J69" s="359"/>
      <c r="K69" s="359"/>
      <c r="L69" s="649">
        <f>+I69/(1+(0.05361/2))^(DAYS360(Syndication!$I$171,F69)/180)</f>
        <v>0</v>
      </c>
      <c r="M69" s="649">
        <f t="shared" si="2"/>
        <v>0</v>
      </c>
      <c r="N69" s="649">
        <f t="shared" si="0"/>
        <v>0</v>
      </c>
      <c r="O69" s="648"/>
    </row>
    <row r="70" spans="2:15">
      <c r="B70" s="364" t="s">
        <v>1877</v>
      </c>
      <c r="C70" s="1472"/>
      <c r="D70" s="1472"/>
      <c r="E70" s="1472"/>
      <c r="F70" s="366"/>
      <c r="G70" s="1473"/>
      <c r="H70" s="1474"/>
      <c r="I70" s="367">
        <f t="shared" si="1"/>
        <v>0</v>
      </c>
      <c r="J70" s="359"/>
      <c r="K70" s="359"/>
      <c r="L70" s="649">
        <f>+I70/(1+(0.05361/2))^(DAYS360(Syndication!$I$171,F70)/180)</f>
        <v>0</v>
      </c>
      <c r="M70" s="649">
        <f t="shared" si="2"/>
        <v>0</v>
      </c>
      <c r="N70" s="649">
        <f t="shared" si="0"/>
        <v>0</v>
      </c>
      <c r="O70" s="648"/>
    </row>
    <row r="71" spans="2:15">
      <c r="B71" s="364" t="s">
        <v>1878</v>
      </c>
      <c r="C71" s="1472"/>
      <c r="D71" s="1472"/>
      <c r="E71" s="1472"/>
      <c r="F71" s="366"/>
      <c r="G71" s="1473"/>
      <c r="H71" s="1474"/>
      <c r="I71" s="367">
        <f t="shared" si="1"/>
        <v>0</v>
      </c>
      <c r="J71" s="359"/>
      <c r="K71" s="359"/>
      <c r="L71" s="649">
        <f>+I71/(1+(0.05361/2))^(DAYS360(Syndication!$I$171,F71)/180)</f>
        <v>0</v>
      </c>
      <c r="M71" s="649">
        <f t="shared" si="2"/>
        <v>0</v>
      </c>
      <c r="N71" s="649">
        <f t="shared" si="0"/>
        <v>0</v>
      </c>
      <c r="O71" s="648"/>
    </row>
    <row r="72" spans="2:15">
      <c r="B72" s="364" t="s">
        <v>666</v>
      </c>
      <c r="C72" s="1472"/>
      <c r="D72" s="1472"/>
      <c r="E72" s="1472"/>
      <c r="F72" s="366"/>
      <c r="G72" s="1473"/>
      <c r="H72" s="1474"/>
      <c r="I72" s="367">
        <f t="shared" si="1"/>
        <v>0</v>
      </c>
      <c r="J72" s="359"/>
      <c r="K72" s="359"/>
      <c r="L72" s="649">
        <f>+I72/(1+(0.05361/2))^(DAYS360(Syndication!$I$171,F72)/180)</f>
        <v>0</v>
      </c>
      <c r="M72" s="649">
        <f t="shared" si="2"/>
        <v>0</v>
      </c>
      <c r="N72" s="649">
        <f t="shared" si="0"/>
        <v>0</v>
      </c>
      <c r="O72" s="648"/>
    </row>
    <row r="73" spans="2:15">
      <c r="B73" s="364" t="s">
        <v>667</v>
      </c>
      <c r="C73" s="1472"/>
      <c r="D73" s="1472"/>
      <c r="E73" s="1472"/>
      <c r="F73" s="366"/>
      <c r="G73" s="1473"/>
      <c r="H73" s="1474"/>
      <c r="I73" s="367">
        <f t="shared" si="1"/>
        <v>0</v>
      </c>
      <c r="J73" s="359"/>
      <c r="K73" s="359"/>
      <c r="L73" s="649">
        <f>+I73/(1+(0.05361/2))^(DAYS360(Syndication!$I$171,F73)/180)</f>
        <v>0</v>
      </c>
      <c r="M73" s="649">
        <f t="shared" si="2"/>
        <v>0</v>
      </c>
      <c r="N73" s="649">
        <f t="shared" si="0"/>
        <v>0</v>
      </c>
      <c r="O73" s="648"/>
    </row>
    <row r="74" spans="2:15">
      <c r="B74" s="364" t="s">
        <v>668</v>
      </c>
      <c r="C74" s="1472"/>
      <c r="D74" s="1472"/>
      <c r="E74" s="1472"/>
      <c r="F74" s="366"/>
      <c r="G74" s="1473"/>
      <c r="H74" s="1474"/>
      <c r="I74" s="367">
        <f t="shared" si="1"/>
        <v>0</v>
      </c>
      <c r="J74" s="359"/>
      <c r="K74" s="650"/>
      <c r="L74" s="649">
        <f>+I74/(1+(0.05361/2))^(DAYS360(Syndication!$I$171,F74)/180)</f>
        <v>0</v>
      </c>
      <c r="M74" s="649">
        <f t="shared" si="2"/>
        <v>0</v>
      </c>
      <c r="N74" s="649">
        <f t="shared" si="0"/>
        <v>0</v>
      </c>
      <c r="O74" s="648"/>
    </row>
    <row r="75" spans="2:15">
      <c r="B75" s="359"/>
      <c r="C75" s="359"/>
      <c r="D75" s="359"/>
      <c r="E75" s="359"/>
      <c r="F75" s="645" t="str">
        <f>IF(ROUND(SUM(I60:I74),-1)&lt;&gt;ROUND(J34,-1), "WARNING - Does not agree with Line F above.", "")</f>
        <v/>
      </c>
      <c r="G75" s="359"/>
      <c r="H75" s="359"/>
      <c r="I75" s="359"/>
      <c r="J75" s="359"/>
      <c r="K75" s="359"/>
      <c r="L75" s="649">
        <f>SUM(L60:L74)</f>
        <v>0</v>
      </c>
      <c r="M75" s="649">
        <f>SUM(M60:M74)</f>
        <v>0</v>
      </c>
      <c r="N75" s="649">
        <f>SUM(N60:N74)</f>
        <v>0</v>
      </c>
      <c r="O75" s="648"/>
    </row>
    <row r="76" spans="2:15">
      <c r="B76" s="359" t="s">
        <v>669</v>
      </c>
      <c r="C76" s="360" t="s">
        <v>670</v>
      </c>
      <c r="D76" s="359"/>
      <c r="E76" s="359"/>
      <c r="F76" s="359"/>
      <c r="G76" s="359"/>
      <c r="H76" s="359"/>
      <c r="I76" s="359"/>
      <c r="J76" s="359"/>
      <c r="K76" s="359"/>
      <c r="L76" s="648"/>
      <c r="M76" s="648"/>
      <c r="N76" s="648"/>
      <c r="O76" s="648"/>
    </row>
    <row r="77" spans="2:15">
      <c r="B77" s="359"/>
      <c r="C77" s="359"/>
      <c r="D77" s="359"/>
      <c r="E77" s="359"/>
      <c r="F77" s="359"/>
      <c r="G77" s="359"/>
      <c r="H77" s="359"/>
      <c r="I77" s="359"/>
      <c r="J77" s="359"/>
      <c r="K77" s="359"/>
      <c r="L77" s="648"/>
      <c r="M77" s="648"/>
      <c r="N77" s="648"/>
      <c r="O77" s="648"/>
    </row>
    <row r="78" spans="2:15">
      <c r="B78" s="359"/>
      <c r="C78" s="354" t="s">
        <v>1782</v>
      </c>
      <c r="D78" s="354"/>
      <c r="E78" s="354"/>
      <c r="F78" s="354"/>
      <c r="G78" s="354"/>
      <c r="H78" s="354"/>
      <c r="I78" s="354"/>
      <c r="J78" s="354"/>
      <c r="K78" s="359"/>
      <c r="L78" s="648"/>
      <c r="M78" s="648"/>
      <c r="N78" s="648"/>
      <c r="O78" s="648"/>
    </row>
    <row r="79" spans="2:15">
      <c r="B79" s="359"/>
      <c r="C79" s="354" t="s">
        <v>1783</v>
      </c>
      <c r="D79" s="354"/>
      <c r="E79" s="354"/>
      <c r="F79" s="354"/>
      <c r="G79" s="354"/>
      <c r="H79" s="354"/>
      <c r="I79" s="354"/>
      <c r="J79" s="354"/>
      <c r="K79" s="359"/>
      <c r="L79" s="648"/>
      <c r="M79" s="660"/>
      <c r="N79" s="660"/>
      <c r="O79" s="648"/>
    </row>
    <row r="80" spans="2:15">
      <c r="B80" s="359"/>
      <c r="C80" s="359"/>
      <c r="D80" s="359"/>
      <c r="E80" s="359"/>
      <c r="F80" s="359"/>
      <c r="G80" s="359"/>
      <c r="H80" s="359"/>
      <c r="I80" s="359"/>
      <c r="J80" s="359"/>
      <c r="K80" s="359"/>
      <c r="L80" s="648"/>
      <c r="M80" s="660"/>
      <c r="N80" s="660"/>
      <c r="O80" s="648"/>
    </row>
    <row r="81" spans="2:15">
      <c r="B81" s="359"/>
      <c r="C81" s="651" t="s">
        <v>1784</v>
      </c>
      <c r="D81" s="359"/>
      <c r="E81" s="359"/>
      <c r="F81" s="359"/>
      <c r="G81" s="359"/>
      <c r="H81" s="359"/>
      <c r="I81" s="651" t="s">
        <v>1785</v>
      </c>
      <c r="J81" s="359"/>
      <c r="K81" s="359"/>
      <c r="L81" s="648"/>
      <c r="M81" s="660"/>
      <c r="N81" s="660"/>
      <c r="O81" s="648"/>
    </row>
    <row r="82" spans="2:15">
      <c r="B82" s="359"/>
      <c r="C82" s="359"/>
      <c r="D82" s="359"/>
      <c r="E82" s="359"/>
      <c r="F82" s="359"/>
      <c r="G82" s="359"/>
      <c r="H82" s="359"/>
      <c r="I82" s="359"/>
      <c r="J82" s="359"/>
      <c r="K82" s="359"/>
      <c r="L82" s="648"/>
      <c r="M82" s="660"/>
      <c r="N82" s="660"/>
      <c r="O82" s="648"/>
    </row>
    <row r="83" spans="2:15">
      <c r="B83" s="359" t="s">
        <v>1786</v>
      </c>
      <c r="C83" s="1467"/>
      <c r="D83" s="1467"/>
      <c r="E83" s="1467"/>
      <c r="F83" s="1467"/>
      <c r="G83" s="1467"/>
      <c r="H83" s="359"/>
      <c r="I83" s="587">
        <v>0</v>
      </c>
      <c r="J83" s="359" t="s">
        <v>1787</v>
      </c>
      <c r="K83" s="359"/>
      <c r="L83" s="648"/>
      <c r="M83" s="660"/>
      <c r="N83" s="660"/>
      <c r="O83" s="648"/>
    </row>
    <row r="84" spans="2:15">
      <c r="B84" s="359"/>
      <c r="C84" s="355"/>
      <c r="D84" s="356"/>
      <c r="E84" s="356"/>
      <c r="F84" s="356"/>
      <c r="G84" s="356"/>
      <c r="H84" s="359"/>
      <c r="I84" s="359"/>
      <c r="J84" s="359"/>
      <c r="K84" s="359"/>
      <c r="L84" s="648"/>
      <c r="M84" s="660"/>
      <c r="N84" s="660"/>
      <c r="O84" s="648"/>
    </row>
    <row r="85" spans="2:15">
      <c r="B85" s="359" t="s">
        <v>1998</v>
      </c>
      <c r="C85" s="1467"/>
      <c r="D85" s="1467"/>
      <c r="E85" s="1467"/>
      <c r="F85" s="1467"/>
      <c r="G85" s="1467"/>
      <c r="H85" s="359"/>
      <c r="I85" s="359"/>
      <c r="J85" s="359"/>
      <c r="K85" s="359"/>
      <c r="L85" s="648"/>
      <c r="M85" s="660"/>
      <c r="N85" s="660"/>
      <c r="O85" s="648"/>
    </row>
    <row r="86" spans="2:15">
      <c r="B86" s="359"/>
      <c r="C86" s="1467"/>
      <c r="D86" s="1467"/>
      <c r="E86" s="1467"/>
      <c r="F86" s="1467"/>
      <c r="G86" s="1467"/>
      <c r="H86" s="359"/>
      <c r="I86" s="359"/>
      <c r="J86" s="359"/>
      <c r="K86" s="359"/>
      <c r="L86" s="648"/>
      <c r="M86" s="660"/>
      <c r="N86" s="660"/>
      <c r="O86" s="648"/>
    </row>
    <row r="87" spans="2:15">
      <c r="B87" s="359"/>
      <c r="C87" s="359"/>
      <c r="D87" s="359"/>
      <c r="E87" s="359"/>
      <c r="F87" s="359"/>
      <c r="G87" s="359"/>
      <c r="H87" s="359"/>
      <c r="I87" s="359"/>
      <c r="J87" s="359"/>
      <c r="K87" s="359"/>
      <c r="L87" s="648"/>
      <c r="M87" s="660"/>
      <c r="N87" s="660"/>
      <c r="O87" s="648"/>
    </row>
    <row r="88" spans="2:15">
      <c r="B88" s="359" t="s">
        <v>1999</v>
      </c>
      <c r="C88" s="359"/>
      <c r="D88" s="1471"/>
      <c r="E88" s="1471"/>
      <c r="F88" s="653"/>
      <c r="G88" s="653" t="s">
        <v>2000</v>
      </c>
      <c r="H88" s="1471"/>
      <c r="I88" s="1471"/>
      <c r="J88" s="359"/>
      <c r="K88" s="359"/>
      <c r="L88" s="648"/>
      <c r="M88" s="660"/>
      <c r="N88" s="660"/>
      <c r="O88" s="648"/>
    </row>
    <row r="89" spans="2:15">
      <c r="B89" s="359"/>
      <c r="C89" s="359"/>
      <c r="D89" s="654"/>
      <c r="E89" s="654"/>
      <c r="F89" s="654"/>
      <c r="G89" s="654"/>
      <c r="H89" s="654"/>
      <c r="I89" s="359"/>
      <c r="J89" s="359"/>
      <c r="K89" s="359"/>
      <c r="L89" s="648"/>
      <c r="M89" s="660"/>
      <c r="N89" s="660"/>
      <c r="O89" s="648"/>
    </row>
    <row r="90" spans="2:15">
      <c r="B90" s="359" t="s">
        <v>1114</v>
      </c>
      <c r="C90" s="359"/>
      <c r="D90" s="654"/>
      <c r="E90" s="1470"/>
      <c r="F90" s="1470"/>
      <c r="G90" s="655"/>
      <c r="H90" s="654"/>
      <c r="I90" s="359"/>
      <c r="J90" s="359"/>
      <c r="K90" s="359"/>
      <c r="L90" s="648"/>
      <c r="M90" s="648"/>
      <c r="N90" s="648"/>
      <c r="O90" s="648"/>
    </row>
    <row r="91" spans="2:15">
      <c r="B91" s="359"/>
      <c r="C91" s="359"/>
      <c r="D91" s="654"/>
      <c r="E91" s="655"/>
      <c r="F91" s="655"/>
      <c r="G91" s="655"/>
      <c r="H91" s="654"/>
      <c r="I91" s="359"/>
      <c r="J91" s="359"/>
      <c r="K91" s="359"/>
      <c r="L91" s="539"/>
      <c r="M91" s="539"/>
      <c r="N91" s="539"/>
      <c r="O91" s="539"/>
    </row>
    <row r="92" spans="2:15">
      <c r="B92" s="359" t="s">
        <v>1115</v>
      </c>
      <c r="C92" s="359"/>
      <c r="D92" s="654"/>
      <c r="E92" s="655"/>
      <c r="F92" s="588"/>
      <c r="G92" s="656"/>
      <c r="H92" s="654"/>
      <c r="I92" s="359"/>
      <c r="J92" s="359"/>
      <c r="K92" s="359"/>
      <c r="L92" s="539"/>
      <c r="M92" s="539"/>
      <c r="N92" s="539"/>
      <c r="O92" s="539"/>
    </row>
    <row r="93" spans="2:15">
      <c r="B93" s="359"/>
      <c r="C93" s="359"/>
      <c r="D93" s="359"/>
      <c r="E93" s="359"/>
      <c r="F93" s="359"/>
      <c r="G93" s="359"/>
      <c r="H93" s="359"/>
      <c r="I93" s="359"/>
      <c r="J93" s="359"/>
      <c r="K93" s="359"/>
      <c r="L93" s="539"/>
      <c r="M93" s="539"/>
      <c r="N93" s="539"/>
      <c r="O93" s="539"/>
    </row>
    <row r="94" spans="2:15">
      <c r="B94" s="359" t="s">
        <v>1116</v>
      </c>
      <c r="C94" s="359"/>
      <c r="D94" s="359"/>
      <c r="E94" s="1467"/>
      <c r="F94" s="1467"/>
      <c r="G94" s="1467"/>
      <c r="H94" s="1467"/>
      <c r="I94" s="1467"/>
      <c r="J94" s="359"/>
      <c r="K94" s="359"/>
      <c r="L94" s="539"/>
      <c r="M94" s="539"/>
      <c r="N94" s="539"/>
      <c r="O94" s="539"/>
    </row>
    <row r="95" spans="2:15">
      <c r="B95" s="359"/>
      <c r="C95" s="359"/>
      <c r="D95" s="359"/>
      <c r="E95" s="359"/>
      <c r="F95" s="359"/>
      <c r="G95" s="359"/>
      <c r="H95" s="359"/>
      <c r="I95" s="359"/>
      <c r="J95" s="359"/>
      <c r="K95" s="359"/>
      <c r="L95" s="539"/>
      <c r="M95" s="539"/>
      <c r="N95" s="539"/>
      <c r="O95" s="539"/>
    </row>
    <row r="96" spans="2:15">
      <c r="B96" s="359"/>
      <c r="C96" s="651" t="s">
        <v>1784</v>
      </c>
      <c r="D96" s="359"/>
      <c r="E96" s="359"/>
      <c r="F96" s="359"/>
      <c r="G96" s="359"/>
      <c r="H96" s="359"/>
      <c r="I96" s="651" t="s">
        <v>1785</v>
      </c>
      <c r="J96" s="359"/>
      <c r="K96" s="359"/>
      <c r="L96" s="539"/>
      <c r="M96" s="539"/>
      <c r="N96" s="539"/>
      <c r="O96" s="539"/>
    </row>
    <row r="97" spans="2:15">
      <c r="B97" s="359"/>
      <c r="C97" s="359"/>
      <c r="D97" s="359"/>
      <c r="E97" s="359"/>
      <c r="F97" s="359"/>
      <c r="G97" s="359"/>
      <c r="H97" s="359"/>
      <c r="I97" s="359"/>
      <c r="J97" s="359"/>
      <c r="K97" s="359"/>
      <c r="L97" s="539"/>
      <c r="M97" s="539"/>
      <c r="N97" s="539"/>
      <c r="O97" s="539"/>
    </row>
    <row r="98" spans="2:15">
      <c r="B98" s="359" t="s">
        <v>1117</v>
      </c>
      <c r="C98" s="1467"/>
      <c r="D98" s="1467"/>
      <c r="E98" s="1467"/>
      <c r="F98" s="1467"/>
      <c r="G98" s="1467"/>
      <c r="H98" s="654"/>
      <c r="I98" s="652"/>
      <c r="J98" s="359" t="s">
        <v>1787</v>
      </c>
      <c r="K98" s="359"/>
      <c r="L98" s="539"/>
      <c r="M98" s="539"/>
      <c r="N98" s="539"/>
      <c r="O98" s="539"/>
    </row>
    <row r="99" spans="2:15">
      <c r="B99" s="359"/>
      <c r="C99" s="657"/>
      <c r="D99" s="657"/>
      <c r="E99" s="657"/>
      <c r="F99" s="657"/>
      <c r="G99" s="657"/>
      <c r="H99" s="654"/>
      <c r="I99" s="359"/>
      <c r="J99" s="359"/>
      <c r="K99" s="359"/>
      <c r="L99" s="539"/>
      <c r="M99" s="539"/>
      <c r="N99" s="539"/>
      <c r="O99" s="539"/>
    </row>
    <row r="100" spans="2:15">
      <c r="B100" s="359" t="s">
        <v>1998</v>
      </c>
      <c r="C100" s="1467"/>
      <c r="D100" s="1467"/>
      <c r="E100" s="1467"/>
      <c r="F100" s="1467"/>
      <c r="G100" s="1467"/>
      <c r="H100" s="654"/>
      <c r="I100" s="359"/>
      <c r="J100" s="359"/>
      <c r="K100" s="359"/>
      <c r="L100" s="539"/>
      <c r="M100" s="539"/>
      <c r="N100" s="539"/>
      <c r="O100" s="539"/>
    </row>
    <row r="101" spans="2:15">
      <c r="B101" s="359"/>
      <c r="C101" s="1467"/>
      <c r="D101" s="1467"/>
      <c r="E101" s="1467"/>
      <c r="F101" s="1467"/>
      <c r="G101" s="1467"/>
      <c r="H101" s="654"/>
      <c r="I101" s="359"/>
      <c r="J101" s="359"/>
      <c r="K101" s="359"/>
      <c r="L101" s="539"/>
      <c r="M101" s="539"/>
      <c r="N101" s="539"/>
      <c r="O101" s="539"/>
    </row>
    <row r="102" spans="2:15">
      <c r="B102" s="359"/>
      <c r="C102" s="654"/>
      <c r="D102" s="654"/>
      <c r="E102" s="654"/>
      <c r="F102" s="654"/>
      <c r="G102" s="654"/>
      <c r="H102" s="654"/>
      <c r="I102" s="359"/>
      <c r="J102" s="359"/>
      <c r="K102" s="359"/>
      <c r="L102" s="539"/>
      <c r="M102" s="539"/>
      <c r="N102" s="539"/>
      <c r="O102" s="539"/>
    </row>
    <row r="103" spans="2:15">
      <c r="B103" s="359" t="s">
        <v>1999</v>
      </c>
      <c r="C103" s="654"/>
      <c r="D103" s="1471"/>
      <c r="E103" s="1471"/>
      <c r="F103" s="654"/>
      <c r="G103" s="654" t="s">
        <v>2000</v>
      </c>
      <c r="H103" s="1471"/>
      <c r="I103" s="1471"/>
      <c r="J103" s="359"/>
      <c r="K103" s="359"/>
      <c r="L103" s="539"/>
      <c r="M103" s="539"/>
      <c r="N103" s="539"/>
      <c r="O103" s="539"/>
    </row>
    <row r="104" spans="2:15">
      <c r="B104" s="359"/>
      <c r="C104" s="654"/>
      <c r="D104" s="654"/>
      <c r="E104" s="654"/>
      <c r="F104" s="654"/>
      <c r="G104" s="654"/>
      <c r="H104" s="654"/>
      <c r="I104" s="359"/>
      <c r="J104" s="359"/>
      <c r="K104" s="359"/>
      <c r="L104" s="539"/>
      <c r="M104" s="539"/>
      <c r="N104" s="539"/>
      <c r="O104" s="539"/>
    </row>
    <row r="105" spans="2:15">
      <c r="B105" s="359" t="s">
        <v>1114</v>
      </c>
      <c r="C105" s="654"/>
      <c r="D105" s="654"/>
      <c r="E105" s="1470"/>
      <c r="F105" s="1470"/>
      <c r="G105" s="658"/>
      <c r="H105" s="654"/>
      <c r="I105" s="359"/>
      <c r="J105" s="359"/>
      <c r="K105" s="359"/>
      <c r="L105" s="539"/>
      <c r="M105" s="539"/>
      <c r="N105" s="539"/>
      <c r="O105" s="539"/>
    </row>
    <row r="106" spans="2:15">
      <c r="B106" s="359"/>
      <c r="C106" s="654"/>
      <c r="D106" s="654"/>
      <c r="E106" s="655"/>
      <c r="F106" s="655"/>
      <c r="G106" s="655"/>
      <c r="H106" s="654"/>
      <c r="I106" s="359"/>
      <c r="J106" s="359"/>
      <c r="K106" s="359"/>
      <c r="L106" s="539"/>
      <c r="M106" s="539"/>
      <c r="N106" s="539"/>
      <c r="O106" s="539"/>
    </row>
    <row r="107" spans="2:15">
      <c r="B107" s="359" t="s">
        <v>1115</v>
      </c>
      <c r="C107" s="654"/>
      <c r="D107" s="654"/>
      <c r="E107" s="655"/>
      <c r="F107" s="588"/>
      <c r="G107" s="656"/>
      <c r="H107" s="659"/>
      <c r="I107" s="659"/>
      <c r="J107" s="359"/>
      <c r="K107" s="359"/>
      <c r="L107" s="539"/>
      <c r="M107" s="539"/>
      <c r="N107" s="539"/>
      <c r="O107" s="539"/>
    </row>
    <row r="108" spans="2:15">
      <c r="B108" s="359"/>
      <c r="C108" s="654"/>
      <c r="D108" s="654"/>
      <c r="E108" s="654"/>
      <c r="F108" s="654"/>
      <c r="G108" s="659"/>
      <c r="H108" s="659"/>
      <c r="I108" s="659"/>
      <c r="J108" s="359"/>
      <c r="K108" s="359"/>
      <c r="L108" s="539"/>
      <c r="M108" s="539"/>
      <c r="N108" s="539"/>
      <c r="O108" s="539"/>
    </row>
    <row r="109" spans="2:15">
      <c r="B109" s="359" t="s">
        <v>1116</v>
      </c>
      <c r="C109" s="654"/>
      <c r="D109" s="654"/>
      <c r="E109" s="1467"/>
      <c r="F109" s="1467"/>
      <c r="G109" s="1467"/>
      <c r="H109" s="1467"/>
      <c r="I109" s="1467"/>
      <c r="J109" s="359"/>
      <c r="K109" s="359"/>
      <c r="L109" s="539"/>
      <c r="M109" s="539"/>
      <c r="N109" s="539"/>
      <c r="O109" s="539"/>
    </row>
    <row r="110" spans="2:15">
      <c r="B110" s="660"/>
      <c r="C110" s="660"/>
      <c r="D110" s="660"/>
      <c r="E110" s="357"/>
      <c r="F110" s="357"/>
      <c r="G110" s="357"/>
      <c r="H110" s="357"/>
      <c r="I110" s="357"/>
      <c r="J110" s="660"/>
      <c r="K110" s="359"/>
      <c r="L110" s="539"/>
      <c r="M110" s="539"/>
      <c r="N110" s="539"/>
      <c r="O110" s="539"/>
    </row>
    <row r="111" spans="2:15">
      <c r="B111" s="359" t="s">
        <v>244</v>
      </c>
      <c r="C111" s="360" t="s">
        <v>1494</v>
      </c>
      <c r="D111" s="359"/>
      <c r="E111" s="359"/>
      <c r="F111" s="359"/>
      <c r="G111" s="359"/>
      <c r="H111" s="359"/>
      <c r="I111" s="359"/>
      <c r="J111" s="359"/>
      <c r="K111" s="359"/>
      <c r="L111" s="539"/>
      <c r="M111" s="539"/>
      <c r="N111" s="539"/>
      <c r="O111" s="539"/>
    </row>
    <row r="112" spans="2:15">
      <c r="B112" s="359"/>
      <c r="C112" s="359"/>
      <c r="D112" s="359"/>
      <c r="E112" s="359"/>
      <c r="F112" s="359"/>
      <c r="G112" s="359"/>
      <c r="H112" s="359"/>
      <c r="I112" s="359"/>
      <c r="J112" s="359"/>
      <c r="K112" s="359"/>
      <c r="L112" s="539"/>
      <c r="M112" s="539"/>
      <c r="N112" s="539"/>
      <c r="O112" s="539"/>
    </row>
    <row r="113" spans="2:15">
      <c r="B113" s="359"/>
      <c r="C113" s="354" t="s">
        <v>2012</v>
      </c>
      <c r="D113" s="354"/>
      <c r="E113" s="354"/>
      <c r="F113" s="354"/>
      <c r="G113" s="354"/>
      <c r="H113" s="354"/>
      <c r="I113" s="354"/>
      <c r="J113" s="354"/>
      <c r="K113" s="359"/>
      <c r="L113" s="539"/>
      <c r="M113" s="539"/>
      <c r="N113" s="539"/>
      <c r="O113" s="539"/>
    </row>
    <row r="114" spans="2:15">
      <c r="B114" s="359"/>
      <c r="C114" s="354" t="s">
        <v>246</v>
      </c>
      <c r="D114" s="354"/>
      <c r="E114" s="354"/>
      <c r="F114" s="354"/>
      <c r="G114" s="354"/>
      <c r="H114" s="354"/>
      <c r="I114" s="354"/>
      <c r="J114" s="354"/>
      <c r="K114" s="359"/>
      <c r="L114" s="539"/>
      <c r="M114" s="539"/>
      <c r="N114" s="539"/>
      <c r="O114" s="539"/>
    </row>
    <row r="115" spans="2:15">
      <c r="B115" s="359"/>
      <c r="C115" s="354" t="s">
        <v>247</v>
      </c>
      <c r="D115" s="354"/>
      <c r="E115" s="354"/>
      <c r="F115" s="354"/>
      <c r="G115" s="354"/>
      <c r="H115" s="354"/>
      <c r="I115" s="354"/>
      <c r="J115" s="354"/>
      <c r="K115" s="359"/>
      <c r="L115" s="539"/>
      <c r="M115" s="539"/>
      <c r="N115" s="539"/>
      <c r="O115" s="539"/>
    </row>
    <row r="116" spans="2:15">
      <c r="B116" s="359"/>
      <c r="C116" s="359"/>
      <c r="D116" s="359"/>
      <c r="E116" s="359"/>
      <c r="F116" s="359"/>
      <c r="G116" s="359"/>
      <c r="H116" s="359"/>
      <c r="I116" s="359"/>
      <c r="J116" s="374" t="e">
        <f>Cover!$H$6</f>
        <v>#N/A</v>
      </c>
      <c r="K116" s="359"/>
      <c r="L116" s="539"/>
      <c r="M116" s="539"/>
      <c r="N116" s="539"/>
      <c r="O116" s="539"/>
    </row>
    <row r="117" spans="2:15">
      <c r="B117" s="359" t="s">
        <v>184</v>
      </c>
      <c r="C117" s="360" t="s">
        <v>248</v>
      </c>
      <c r="D117" s="359"/>
      <c r="E117" s="359"/>
      <c r="F117" s="359"/>
      <c r="G117" s="359"/>
      <c r="H117" s="359"/>
      <c r="I117" s="359"/>
      <c r="J117" s="359"/>
      <c r="K117" s="359"/>
      <c r="L117" s="539"/>
      <c r="M117" s="539"/>
      <c r="N117" s="539"/>
      <c r="O117" s="539"/>
    </row>
    <row r="118" spans="2:15">
      <c r="B118" s="359"/>
      <c r="C118" s="359"/>
      <c r="D118" s="359"/>
      <c r="E118" s="359"/>
      <c r="F118" s="359"/>
      <c r="G118" s="359"/>
      <c r="H118" s="359"/>
      <c r="I118" s="359"/>
      <c r="J118" s="359"/>
      <c r="K118" s="359"/>
      <c r="L118" s="539"/>
      <c r="M118" s="539"/>
      <c r="N118" s="539"/>
      <c r="O118" s="539"/>
    </row>
    <row r="119" spans="2:15">
      <c r="B119" s="359"/>
      <c r="C119" s="362" t="s">
        <v>303</v>
      </c>
      <c r="D119" s="354" t="s">
        <v>249</v>
      </c>
      <c r="E119" s="354"/>
      <c r="F119" s="354"/>
      <c r="G119" s="354"/>
      <c r="H119" s="354"/>
      <c r="I119" s="589">
        <v>0</v>
      </c>
      <c r="J119" s="354"/>
      <c r="K119" s="359"/>
      <c r="L119" s="539"/>
      <c r="M119" s="539"/>
      <c r="N119" s="539"/>
      <c r="O119" s="539"/>
    </row>
    <row r="120" spans="2:15">
      <c r="B120" s="359"/>
      <c r="C120" s="362"/>
      <c r="D120" s="354" t="s">
        <v>250</v>
      </c>
      <c r="E120" s="354"/>
      <c r="F120" s="590">
        <v>0</v>
      </c>
      <c r="G120" s="354" t="s">
        <v>1796</v>
      </c>
      <c r="H120" s="354"/>
      <c r="I120" s="354"/>
      <c r="J120" s="354"/>
      <c r="K120" s="359"/>
      <c r="L120" s="539"/>
      <c r="M120" s="539"/>
      <c r="N120" s="539"/>
      <c r="O120" s="539"/>
    </row>
    <row r="121" spans="2:15">
      <c r="B121" s="359"/>
      <c r="C121" s="362"/>
      <c r="D121" s="589">
        <v>0</v>
      </c>
      <c r="E121" s="359" t="s">
        <v>1797</v>
      </c>
      <c r="F121" s="639"/>
      <c r="G121" s="354"/>
      <c r="H121" s="354"/>
      <c r="I121" s="354"/>
      <c r="J121" s="354"/>
      <c r="K121" s="359"/>
      <c r="L121" s="539"/>
      <c r="M121" s="539"/>
      <c r="N121" s="539"/>
      <c r="O121" s="539"/>
    </row>
    <row r="122" spans="2:15">
      <c r="B122" s="359"/>
      <c r="C122" s="362"/>
      <c r="D122" s="359"/>
      <c r="E122" s="359"/>
      <c r="F122" s="359"/>
      <c r="G122" s="359"/>
      <c r="H122" s="359"/>
      <c r="I122" s="359"/>
      <c r="J122" s="359"/>
      <c r="K122" s="359"/>
      <c r="L122" s="539"/>
      <c r="M122" s="539"/>
      <c r="N122" s="539"/>
      <c r="O122" s="539"/>
    </row>
    <row r="123" spans="2:15">
      <c r="B123" s="359"/>
      <c r="C123" s="362" t="s">
        <v>304</v>
      </c>
      <c r="D123" s="354" t="s">
        <v>1798</v>
      </c>
      <c r="E123" s="354"/>
      <c r="F123" s="354"/>
      <c r="G123" s="354"/>
      <c r="H123" s="354"/>
      <c r="I123" s="354"/>
      <c r="J123" s="354"/>
      <c r="K123" s="359"/>
      <c r="L123" s="539"/>
      <c r="M123" s="539"/>
      <c r="N123" s="539"/>
      <c r="O123" s="539"/>
    </row>
    <row r="124" spans="2:15">
      <c r="B124" s="359"/>
      <c r="C124" s="362"/>
      <c r="D124" s="354" t="s">
        <v>1810</v>
      </c>
      <c r="E124" s="354"/>
      <c r="F124" s="354"/>
      <c r="G124" s="354"/>
      <c r="H124" s="354"/>
      <c r="I124" s="354"/>
      <c r="J124" s="354"/>
      <c r="K124" s="359"/>
      <c r="L124" s="539"/>
      <c r="M124" s="539"/>
      <c r="N124" s="539"/>
      <c r="O124" s="539"/>
    </row>
    <row r="125" spans="2:15">
      <c r="B125" s="359"/>
      <c r="C125" s="359"/>
      <c r="D125" s="359"/>
      <c r="E125" s="359"/>
      <c r="F125" s="359"/>
      <c r="G125" s="359"/>
      <c r="H125" s="359"/>
      <c r="I125" s="359"/>
      <c r="J125" s="359"/>
      <c r="K125" s="359"/>
      <c r="L125" s="539"/>
      <c r="M125" s="539"/>
      <c r="N125" s="539"/>
      <c r="O125" s="539"/>
    </row>
    <row r="126" spans="2:15">
      <c r="B126" s="359"/>
      <c r="C126" s="647" t="s">
        <v>1811</v>
      </c>
      <c r="D126" s="647"/>
      <c r="E126" s="647"/>
      <c r="F126" s="359"/>
      <c r="G126" s="647" t="s">
        <v>1812</v>
      </c>
      <c r="H126" s="647"/>
      <c r="I126" s="647"/>
      <c r="J126" s="647" t="s">
        <v>1813</v>
      </c>
      <c r="K126" s="359"/>
      <c r="L126" s="539"/>
      <c r="M126" s="539"/>
      <c r="N126" s="539"/>
      <c r="O126" s="539"/>
    </row>
    <row r="127" spans="2:15">
      <c r="B127" s="359"/>
      <c r="C127" s="359"/>
      <c r="D127" s="359"/>
      <c r="E127" s="359"/>
      <c r="F127" s="359"/>
      <c r="G127" s="359"/>
      <c r="H127" s="359"/>
      <c r="I127" s="359"/>
      <c r="J127" s="359"/>
      <c r="K127" s="359"/>
      <c r="L127" s="539"/>
      <c r="M127" s="539"/>
      <c r="N127" s="539"/>
      <c r="O127" s="539"/>
    </row>
    <row r="128" spans="2:15">
      <c r="B128" s="359">
        <v>1</v>
      </c>
      <c r="C128" s="359" t="s">
        <v>66</v>
      </c>
      <c r="D128" s="359"/>
      <c r="E128" s="359"/>
      <c r="F128" s="359"/>
      <c r="G128" s="1467"/>
      <c r="H128" s="1467"/>
      <c r="I128" s="1467"/>
      <c r="J128" s="368"/>
      <c r="K128" s="359"/>
      <c r="L128" s="539"/>
      <c r="M128" s="539"/>
      <c r="N128" s="539"/>
      <c r="O128" s="539"/>
    </row>
    <row r="129" spans="2:15">
      <c r="B129" s="359">
        <v>2</v>
      </c>
      <c r="C129" s="359" t="s">
        <v>190</v>
      </c>
      <c r="D129" s="359"/>
      <c r="E129" s="359"/>
      <c r="F129" s="359"/>
      <c r="G129" s="1467"/>
      <c r="H129" s="1467"/>
      <c r="I129" s="1467"/>
      <c r="J129" s="368"/>
      <c r="K129" s="359"/>
      <c r="L129" s="539"/>
      <c r="M129" s="539"/>
      <c r="N129" s="539"/>
      <c r="O129" s="539"/>
    </row>
    <row r="130" spans="2:15">
      <c r="B130" s="359">
        <v>3</v>
      </c>
      <c r="C130" s="359" t="s">
        <v>191</v>
      </c>
      <c r="D130" s="359"/>
      <c r="E130" s="359"/>
      <c r="F130" s="359"/>
      <c r="G130" s="1467"/>
      <c r="H130" s="1467"/>
      <c r="I130" s="1467"/>
      <c r="J130" s="368"/>
      <c r="K130" s="359"/>
      <c r="L130" s="539"/>
      <c r="M130" s="539"/>
      <c r="N130" s="539"/>
      <c r="O130" s="539"/>
    </row>
    <row r="131" spans="2:15">
      <c r="B131" s="359">
        <v>4</v>
      </c>
      <c r="C131" s="359" t="s">
        <v>192</v>
      </c>
      <c r="D131" s="359"/>
      <c r="E131" s="359"/>
      <c r="F131" s="359"/>
      <c r="G131" s="1467"/>
      <c r="H131" s="1467"/>
      <c r="I131" s="1467"/>
      <c r="J131" s="368"/>
      <c r="K131" s="359"/>
      <c r="L131" s="539"/>
      <c r="M131" s="539"/>
      <c r="N131" s="539"/>
      <c r="O131" s="539"/>
    </row>
    <row r="132" spans="2:15">
      <c r="B132" s="359">
        <v>5</v>
      </c>
      <c r="C132" s="359" t="s">
        <v>193</v>
      </c>
      <c r="D132" s="359"/>
      <c r="E132" s="359"/>
      <c r="F132" s="359"/>
      <c r="G132" s="1467"/>
      <c r="H132" s="1467"/>
      <c r="I132" s="1467"/>
      <c r="J132" s="368"/>
      <c r="K132" s="359"/>
      <c r="L132" s="539"/>
      <c r="M132" s="539"/>
      <c r="N132" s="539"/>
      <c r="O132" s="539"/>
    </row>
    <row r="133" spans="2:15">
      <c r="B133" s="359"/>
      <c r="C133" s="359" t="s">
        <v>194</v>
      </c>
      <c r="D133" s="359"/>
      <c r="E133" s="359"/>
      <c r="F133" s="359"/>
      <c r="G133" s="1467"/>
      <c r="H133" s="1467"/>
      <c r="I133" s="1467"/>
      <c r="J133" s="368"/>
      <c r="K133" s="359"/>
      <c r="L133" s="539"/>
      <c r="M133" s="539"/>
      <c r="N133" s="539"/>
      <c r="O133" s="539"/>
    </row>
    <row r="134" spans="2:15">
      <c r="B134" s="359">
        <v>6</v>
      </c>
      <c r="C134" s="359" t="s">
        <v>195</v>
      </c>
      <c r="D134" s="356"/>
      <c r="E134" s="1467"/>
      <c r="F134" s="1362"/>
      <c r="G134" s="1467"/>
      <c r="H134" s="1467"/>
      <c r="I134" s="1467"/>
      <c r="J134" s="368"/>
      <c r="K134" s="359"/>
      <c r="L134" s="539"/>
      <c r="M134" s="539"/>
      <c r="N134" s="539"/>
      <c r="O134" s="539"/>
    </row>
    <row r="135" spans="2:15">
      <c r="B135" s="359">
        <v>7</v>
      </c>
      <c r="C135" s="359" t="s">
        <v>195</v>
      </c>
      <c r="D135" s="356"/>
      <c r="E135" s="1467"/>
      <c r="F135" s="1362"/>
      <c r="G135" s="1467"/>
      <c r="H135" s="1467"/>
      <c r="I135" s="1467"/>
      <c r="J135" s="368"/>
      <c r="K135" s="359"/>
      <c r="L135" s="539"/>
      <c r="M135" s="539"/>
      <c r="N135" s="539"/>
      <c r="O135" s="539"/>
    </row>
    <row r="136" spans="2:15">
      <c r="B136" s="359">
        <v>8</v>
      </c>
      <c r="C136" s="359" t="s">
        <v>195</v>
      </c>
      <c r="D136" s="356"/>
      <c r="E136" s="1467"/>
      <c r="F136" s="1362"/>
      <c r="G136" s="1467"/>
      <c r="H136" s="1467"/>
      <c r="I136" s="1467"/>
      <c r="J136" s="368"/>
      <c r="K136" s="359"/>
      <c r="L136" s="539"/>
      <c r="M136" s="539"/>
      <c r="N136" s="539"/>
      <c r="O136" s="539"/>
    </row>
    <row r="137" spans="2:15">
      <c r="B137" s="359">
        <v>9</v>
      </c>
      <c r="C137" s="359" t="s">
        <v>195</v>
      </c>
      <c r="D137" s="356"/>
      <c r="E137" s="1467"/>
      <c r="F137" s="1362"/>
      <c r="G137" s="1467"/>
      <c r="H137" s="1467"/>
      <c r="I137" s="1467"/>
      <c r="J137" s="368"/>
      <c r="K137" s="359"/>
      <c r="L137" s="539"/>
      <c r="M137" s="539"/>
      <c r="N137" s="539"/>
      <c r="O137" s="539"/>
    </row>
    <row r="138" spans="2:15">
      <c r="B138" s="359">
        <v>10</v>
      </c>
      <c r="C138" s="359" t="s">
        <v>195</v>
      </c>
      <c r="D138" s="356"/>
      <c r="E138" s="1467"/>
      <c r="F138" s="1362"/>
      <c r="G138" s="1467"/>
      <c r="H138" s="1467"/>
      <c r="I138" s="1467"/>
      <c r="J138" s="368"/>
      <c r="K138" s="359"/>
      <c r="L138" s="539"/>
      <c r="M138" s="539"/>
      <c r="N138" s="539"/>
      <c r="O138" s="539"/>
    </row>
    <row r="139" spans="2:15">
      <c r="B139" s="359"/>
      <c r="C139" s="359" t="s">
        <v>196</v>
      </c>
      <c r="D139" s="359"/>
      <c r="E139" s="359"/>
      <c r="F139" s="645" t="str">
        <f>IF(J139=syn_Ig, "", "This doesn't match Section I, Line G!")</f>
        <v/>
      </c>
      <c r="G139" s="359"/>
      <c r="H139" s="359"/>
      <c r="I139" s="359"/>
      <c r="J139" s="369">
        <f>+SUM(J128:J138)</f>
        <v>0</v>
      </c>
      <c r="K139" s="359"/>
      <c r="L139" s="539"/>
      <c r="M139" s="539"/>
      <c r="N139" s="539"/>
      <c r="O139" s="539"/>
    </row>
    <row r="140" spans="2:15">
      <c r="B140" s="359" t="s">
        <v>197</v>
      </c>
      <c r="C140" s="359"/>
      <c r="D140" s="359"/>
      <c r="E140" s="359"/>
      <c r="F140" s="359"/>
      <c r="G140" s="359"/>
      <c r="H140" s="359"/>
      <c r="I140" s="359"/>
      <c r="J140" s="359"/>
      <c r="K140" s="359"/>
      <c r="L140" s="539"/>
      <c r="M140" s="539"/>
      <c r="N140" s="539"/>
      <c r="O140" s="539"/>
    </row>
    <row r="141" spans="2:15">
      <c r="B141" s="354" t="s">
        <v>803</v>
      </c>
      <c r="C141" s="354"/>
      <c r="D141" s="354"/>
      <c r="E141" s="354"/>
      <c r="F141" s="354"/>
      <c r="G141" s="354"/>
      <c r="H141" s="354"/>
      <c r="I141" s="354"/>
      <c r="J141" s="354"/>
      <c r="K141" s="359"/>
      <c r="L141" s="539"/>
      <c r="M141" s="539"/>
      <c r="N141" s="539"/>
      <c r="O141" s="539"/>
    </row>
    <row r="142" spans="2:15">
      <c r="B142" s="354" t="s">
        <v>804</v>
      </c>
      <c r="C142" s="354"/>
      <c r="D142" s="354"/>
      <c r="E142" s="354"/>
      <c r="F142" s="354"/>
      <c r="G142" s="354"/>
      <c r="H142" s="354"/>
      <c r="I142" s="354"/>
      <c r="J142" s="354"/>
      <c r="K142" s="359"/>
      <c r="L142" s="539"/>
      <c r="M142" s="539"/>
      <c r="N142" s="539"/>
      <c r="O142" s="539"/>
    </row>
    <row r="143" spans="2:15">
      <c r="B143" s="354" t="s">
        <v>805</v>
      </c>
      <c r="C143" s="354"/>
      <c r="D143" s="354"/>
      <c r="E143" s="354"/>
      <c r="F143" s="354"/>
      <c r="G143" s="354"/>
      <c r="H143" s="354"/>
      <c r="I143" s="354"/>
      <c r="J143" s="354"/>
      <c r="K143" s="359"/>
      <c r="L143" s="539"/>
      <c r="M143" s="539"/>
      <c r="N143" s="539"/>
      <c r="O143" s="539"/>
    </row>
    <row r="144" spans="2:15">
      <c r="B144" s="359"/>
      <c r="C144" s="359"/>
      <c r="D144" s="359"/>
      <c r="E144" s="359"/>
      <c r="F144" s="359"/>
      <c r="G144" s="359"/>
      <c r="H144" s="359"/>
      <c r="I144" s="359"/>
      <c r="J144" s="359"/>
      <c r="K144" s="359"/>
      <c r="L144" s="539"/>
      <c r="M144" s="539"/>
      <c r="N144" s="539"/>
      <c r="O144" s="539"/>
    </row>
    <row r="145" spans="2:15">
      <c r="B145" s="359" t="s">
        <v>806</v>
      </c>
      <c r="C145" s="360" t="s">
        <v>252</v>
      </c>
      <c r="D145" s="359"/>
      <c r="E145" s="359"/>
      <c r="F145" s="359"/>
      <c r="G145" s="359"/>
      <c r="H145" s="359"/>
      <c r="I145" s="359"/>
      <c r="J145" s="359"/>
      <c r="K145" s="359"/>
      <c r="L145" s="539"/>
      <c r="M145" s="539"/>
      <c r="N145" s="539"/>
      <c r="O145" s="539"/>
    </row>
    <row r="146" spans="2:15">
      <c r="B146" s="359"/>
      <c r="C146" s="359"/>
      <c r="D146" s="359"/>
      <c r="E146" s="359"/>
      <c r="F146" s="359"/>
      <c r="G146" s="359"/>
      <c r="H146" s="359"/>
      <c r="I146" s="359"/>
      <c r="J146" s="359"/>
      <c r="K146" s="359"/>
      <c r="L146" s="539"/>
      <c r="M146" s="539"/>
      <c r="N146" s="539"/>
      <c r="O146" s="539"/>
    </row>
    <row r="147" spans="2:15">
      <c r="B147" s="359"/>
      <c r="C147" s="362" t="s">
        <v>303</v>
      </c>
      <c r="D147" s="354" t="s">
        <v>253</v>
      </c>
      <c r="E147" s="359"/>
      <c r="F147" s="359"/>
      <c r="G147" s="359"/>
      <c r="H147" s="359"/>
      <c r="I147" s="359"/>
      <c r="J147" s="359"/>
      <c r="K147" s="359"/>
      <c r="L147" s="539"/>
      <c r="M147" s="539"/>
      <c r="N147" s="539"/>
      <c r="O147" s="539"/>
    </row>
    <row r="148" spans="2:15">
      <c r="B148" s="359"/>
      <c r="C148" s="359"/>
      <c r="D148" s="359" t="s">
        <v>1167</v>
      </c>
      <c r="E148" s="359"/>
      <c r="F148" s="359"/>
      <c r="G148" s="359"/>
      <c r="H148" s="359"/>
      <c r="I148" s="359"/>
      <c r="J148" s="359"/>
      <c r="K148" s="359"/>
      <c r="L148" s="539"/>
      <c r="M148" s="539"/>
      <c r="N148" s="539"/>
      <c r="O148" s="539"/>
    </row>
    <row r="149" spans="2:15">
      <c r="B149" s="359"/>
      <c r="C149" s="359"/>
      <c r="D149" s="359"/>
      <c r="E149" s="359"/>
      <c r="F149" s="359"/>
      <c r="G149" s="359"/>
      <c r="H149" s="359"/>
      <c r="I149" s="359"/>
      <c r="J149" s="359"/>
      <c r="K149" s="359"/>
      <c r="L149" s="539"/>
      <c r="M149" s="539"/>
      <c r="N149" s="539"/>
      <c r="O149" s="539"/>
    </row>
    <row r="150" spans="2:15">
      <c r="B150" s="359"/>
      <c r="C150" s="647" t="s">
        <v>1811</v>
      </c>
      <c r="D150" s="647"/>
      <c r="E150" s="647"/>
      <c r="F150" s="359"/>
      <c r="G150" s="647" t="s">
        <v>1812</v>
      </c>
      <c r="H150" s="647"/>
      <c r="I150" s="647"/>
      <c r="J150" s="647" t="s">
        <v>1813</v>
      </c>
      <c r="K150" s="359"/>
      <c r="L150" s="539"/>
      <c r="M150" s="539"/>
      <c r="N150" s="539"/>
      <c r="O150" s="539"/>
    </row>
    <row r="151" spans="2:15">
      <c r="B151" s="359"/>
      <c r="C151" s="359"/>
      <c r="D151" s="359"/>
      <c r="E151" s="359"/>
      <c r="F151" s="359"/>
      <c r="G151" s="359"/>
      <c r="H151" s="359"/>
      <c r="I151" s="359"/>
      <c r="J151" s="359"/>
      <c r="K151" s="359"/>
      <c r="L151" s="539"/>
      <c r="M151" s="539"/>
      <c r="N151" s="539"/>
      <c r="O151" s="539"/>
    </row>
    <row r="152" spans="2:15">
      <c r="B152" s="359">
        <v>1</v>
      </c>
      <c r="C152" s="359" t="s">
        <v>1360</v>
      </c>
      <c r="D152" s="359"/>
      <c r="E152" s="359"/>
      <c r="F152" s="359"/>
      <c r="G152" s="1467"/>
      <c r="H152" s="1467"/>
      <c r="I152" s="1467"/>
      <c r="J152" s="368"/>
      <c r="K152" s="359"/>
      <c r="L152" s="539"/>
      <c r="M152" s="539"/>
      <c r="N152" s="539"/>
      <c r="O152" s="539"/>
    </row>
    <row r="153" spans="2:15">
      <c r="B153" s="359">
        <v>2</v>
      </c>
      <c r="C153" s="359" t="s">
        <v>1361</v>
      </c>
      <c r="D153" s="359"/>
      <c r="E153" s="359"/>
      <c r="F153" s="359"/>
      <c r="G153" s="1467"/>
      <c r="H153" s="1467"/>
      <c r="I153" s="1467"/>
      <c r="J153" s="368"/>
      <c r="K153" s="359"/>
      <c r="L153" s="539"/>
      <c r="M153" s="539"/>
      <c r="N153" s="539"/>
      <c r="O153" s="539"/>
    </row>
    <row r="154" spans="2:15">
      <c r="B154" s="359">
        <v>3</v>
      </c>
      <c r="C154" s="359" t="s">
        <v>0</v>
      </c>
      <c r="D154" s="359"/>
      <c r="E154" s="359"/>
      <c r="F154" s="359"/>
      <c r="G154" s="1467"/>
      <c r="H154" s="1467"/>
      <c r="I154" s="1467"/>
      <c r="J154" s="368"/>
      <c r="K154" s="359"/>
      <c r="L154" s="539"/>
      <c r="M154" s="539"/>
      <c r="N154" s="539"/>
      <c r="O154" s="539"/>
    </row>
    <row r="155" spans="2:15">
      <c r="B155" s="359">
        <v>4</v>
      </c>
      <c r="C155" s="359" t="s">
        <v>1</v>
      </c>
      <c r="D155" s="359"/>
      <c r="E155" s="359"/>
      <c r="F155" s="359"/>
      <c r="G155" s="1467"/>
      <c r="H155" s="1467"/>
      <c r="I155" s="1467"/>
      <c r="J155" s="368"/>
      <c r="K155" s="359"/>
      <c r="L155" s="539"/>
      <c r="M155" s="539"/>
      <c r="N155" s="539"/>
      <c r="O155" s="539"/>
    </row>
    <row r="156" spans="2:15">
      <c r="B156" s="359">
        <v>5</v>
      </c>
      <c r="C156" s="359" t="s">
        <v>193</v>
      </c>
      <c r="D156" s="359"/>
      <c r="E156" s="359"/>
      <c r="F156" s="359"/>
      <c r="G156" s="1467"/>
      <c r="H156" s="1467"/>
      <c r="I156" s="1467"/>
      <c r="J156" s="368"/>
      <c r="K156" s="359"/>
      <c r="L156" s="539"/>
      <c r="M156" s="539"/>
      <c r="N156" s="539"/>
      <c r="O156" s="539"/>
    </row>
    <row r="157" spans="2:15">
      <c r="B157" s="359"/>
      <c r="C157" s="359" t="s">
        <v>194</v>
      </c>
      <c r="D157" s="359"/>
      <c r="E157" s="359"/>
      <c r="F157" s="359"/>
      <c r="G157" s="1467"/>
      <c r="H157" s="1467"/>
      <c r="I157" s="1467"/>
      <c r="J157" s="368"/>
      <c r="K157" s="359"/>
      <c r="L157" s="539"/>
      <c r="M157" s="539"/>
      <c r="N157" s="539"/>
      <c r="O157" s="539"/>
    </row>
    <row r="158" spans="2:15">
      <c r="B158" s="359">
        <v>6</v>
      </c>
      <c r="C158" s="359" t="s">
        <v>195</v>
      </c>
      <c r="D158" s="359"/>
      <c r="E158" s="1467"/>
      <c r="F158" s="1467"/>
      <c r="G158" s="1467"/>
      <c r="H158" s="1467"/>
      <c r="I158" s="1467"/>
      <c r="J158" s="368"/>
      <c r="K158" s="359"/>
      <c r="L158" s="539"/>
      <c r="M158" s="539"/>
      <c r="N158" s="539"/>
      <c r="O158" s="539"/>
    </row>
    <row r="159" spans="2:15">
      <c r="B159" s="359">
        <v>7</v>
      </c>
      <c r="C159" s="359" t="s">
        <v>195</v>
      </c>
      <c r="D159" s="359"/>
      <c r="E159" s="1467"/>
      <c r="F159" s="1467"/>
      <c r="G159" s="1467"/>
      <c r="H159" s="1467"/>
      <c r="I159" s="1467"/>
      <c r="J159" s="368"/>
      <c r="K159" s="359"/>
      <c r="L159" s="539"/>
      <c r="M159" s="539"/>
      <c r="N159" s="539"/>
      <c r="O159" s="539"/>
    </row>
    <row r="160" spans="2:15">
      <c r="B160" s="359">
        <v>8</v>
      </c>
      <c r="C160" s="359" t="s">
        <v>195</v>
      </c>
      <c r="D160" s="359"/>
      <c r="E160" s="1467"/>
      <c r="F160" s="1467"/>
      <c r="G160" s="1467"/>
      <c r="H160" s="1467"/>
      <c r="I160" s="1467"/>
      <c r="J160" s="368"/>
      <c r="K160" s="359"/>
      <c r="L160" s="539"/>
      <c r="M160" s="539"/>
      <c r="N160" s="539"/>
      <c r="O160" s="539"/>
    </row>
    <row r="161" spans="2:15">
      <c r="B161" s="359">
        <v>9</v>
      </c>
      <c r="C161" s="359" t="s">
        <v>195</v>
      </c>
      <c r="D161" s="359"/>
      <c r="E161" s="1467"/>
      <c r="F161" s="1467"/>
      <c r="G161" s="1467"/>
      <c r="H161" s="1467"/>
      <c r="I161" s="1467"/>
      <c r="J161" s="368"/>
      <c r="K161" s="359"/>
      <c r="L161" s="539"/>
      <c r="M161" s="539"/>
      <c r="N161" s="539"/>
      <c r="O161" s="539"/>
    </row>
    <row r="162" spans="2:15">
      <c r="B162" s="359">
        <v>10</v>
      </c>
      <c r="C162" s="359" t="s">
        <v>195</v>
      </c>
      <c r="D162" s="359"/>
      <c r="E162" s="1467"/>
      <c r="F162" s="1467"/>
      <c r="G162" s="1467"/>
      <c r="H162" s="1467"/>
      <c r="I162" s="1467"/>
      <c r="J162" s="368"/>
      <c r="K162" s="359"/>
      <c r="L162" s="539"/>
      <c r="M162" s="539"/>
      <c r="N162" s="539"/>
      <c r="O162" s="539"/>
    </row>
    <row r="163" spans="2:15">
      <c r="B163" s="359"/>
      <c r="C163" s="359" t="s">
        <v>196</v>
      </c>
      <c r="D163" s="359"/>
      <c r="E163" s="359"/>
      <c r="F163" s="359"/>
      <c r="G163" s="359"/>
      <c r="H163" s="359"/>
      <c r="I163" s="359"/>
      <c r="J163" s="369">
        <f>+SUM(J152:J162)</f>
        <v>0</v>
      </c>
      <c r="K163" s="359"/>
      <c r="L163" s="539"/>
      <c r="M163" s="539"/>
      <c r="N163" s="539"/>
      <c r="O163" s="539"/>
    </row>
    <row r="164" spans="2:15">
      <c r="B164" s="359" t="s">
        <v>197</v>
      </c>
      <c r="C164" s="359"/>
      <c r="D164" s="359"/>
      <c r="E164" s="359"/>
      <c r="F164" s="359"/>
      <c r="G164" s="359"/>
      <c r="H164" s="359"/>
      <c r="I164" s="359"/>
      <c r="J164" s="359"/>
      <c r="K164" s="359"/>
      <c r="L164" s="539"/>
      <c r="M164" s="539"/>
      <c r="N164" s="539"/>
      <c r="O164" s="539"/>
    </row>
    <row r="165" spans="2:15">
      <c r="B165" s="354" t="s">
        <v>2</v>
      </c>
      <c r="C165" s="354"/>
      <c r="D165" s="354"/>
      <c r="E165" s="354"/>
      <c r="F165" s="354"/>
      <c r="G165" s="354"/>
      <c r="H165" s="354"/>
      <c r="I165" s="354"/>
      <c r="J165" s="354"/>
      <c r="K165" s="359"/>
      <c r="L165" s="539"/>
      <c r="M165" s="539"/>
      <c r="N165" s="539"/>
      <c r="O165" s="539"/>
    </row>
    <row r="166" spans="2:15">
      <c r="B166" s="354" t="s">
        <v>1283</v>
      </c>
      <c r="C166" s="354"/>
      <c r="D166" s="354"/>
      <c r="E166" s="354"/>
      <c r="F166" s="354"/>
      <c r="G166" s="354"/>
      <c r="H166" s="354"/>
      <c r="I166" s="354"/>
      <c r="J166" s="354"/>
      <c r="K166" s="359"/>
      <c r="L166" s="539"/>
      <c r="M166" s="539"/>
      <c r="N166" s="539"/>
      <c r="O166" s="539"/>
    </row>
    <row r="167" spans="2:15">
      <c r="B167" s="354"/>
      <c r="C167" s="354"/>
      <c r="D167" s="354"/>
      <c r="E167" s="354"/>
      <c r="F167" s="354"/>
      <c r="G167" s="354"/>
      <c r="H167" s="354"/>
      <c r="I167" s="354"/>
      <c r="J167" s="354"/>
      <c r="K167" s="359"/>
      <c r="L167" s="539"/>
      <c r="M167" s="539"/>
      <c r="N167" s="539"/>
      <c r="O167" s="539"/>
    </row>
    <row r="168" spans="2:15">
      <c r="B168" s="359"/>
      <c r="C168" s="359"/>
      <c r="D168" s="359"/>
      <c r="E168" s="359"/>
      <c r="F168" s="359"/>
      <c r="G168" s="359"/>
      <c r="H168" s="359"/>
      <c r="I168" s="359"/>
      <c r="J168" s="359"/>
      <c r="K168" s="359"/>
      <c r="L168" s="539"/>
      <c r="M168" s="539"/>
      <c r="N168" s="539"/>
      <c r="O168" s="539"/>
    </row>
    <row r="169" spans="2:15">
      <c r="B169" s="359" t="s">
        <v>1338</v>
      </c>
      <c r="C169" s="360" t="s">
        <v>1339</v>
      </c>
      <c r="D169" s="359"/>
      <c r="E169" s="359"/>
      <c r="F169" s="359"/>
      <c r="G169" s="359"/>
      <c r="H169" s="359"/>
      <c r="I169" s="359"/>
      <c r="J169" s="359"/>
      <c r="K169" s="359"/>
      <c r="L169" s="539"/>
      <c r="M169" s="539"/>
      <c r="N169" s="539"/>
      <c r="O169" s="539"/>
    </row>
    <row r="170" spans="2:15">
      <c r="B170" s="359"/>
      <c r="C170" s="359"/>
      <c r="D170" s="359"/>
      <c r="E170" s="359"/>
      <c r="F170" s="359"/>
      <c r="G170" s="359"/>
      <c r="H170" s="359"/>
      <c r="I170" s="359"/>
      <c r="J170" s="374" t="e">
        <f>Cover!$H$6</f>
        <v>#N/A</v>
      </c>
      <c r="K170" s="359"/>
      <c r="L170" s="539"/>
      <c r="M170" s="539"/>
      <c r="N170" s="539"/>
      <c r="O170" s="539"/>
    </row>
    <row r="171" spans="2:15">
      <c r="B171" s="359"/>
      <c r="C171" s="359" t="s">
        <v>15</v>
      </c>
      <c r="D171" s="359"/>
      <c r="E171" s="359"/>
      <c r="F171" s="359"/>
      <c r="G171" s="359"/>
      <c r="H171" s="359"/>
      <c r="I171" s="591">
        <v>41820</v>
      </c>
      <c r="J171" s="661"/>
      <c r="K171" s="661"/>
      <c r="L171" s="539"/>
      <c r="M171" s="539"/>
      <c r="N171" s="539"/>
      <c r="O171" s="539"/>
    </row>
    <row r="172" spans="2:15">
      <c r="B172" s="359"/>
      <c r="C172" s="359" t="s">
        <v>16</v>
      </c>
      <c r="D172" s="1468">
        <f>+J186</f>
        <v>0</v>
      </c>
      <c r="E172" s="1469"/>
      <c r="F172" s="359"/>
      <c r="G172" s="359"/>
      <c r="H172" s="359"/>
      <c r="I172" s="359"/>
      <c r="J172" s="359"/>
      <c r="K172" s="359"/>
      <c r="L172" s="539"/>
      <c r="M172" s="539"/>
      <c r="N172" s="539"/>
      <c r="O172" s="539"/>
    </row>
    <row r="173" spans="2:15">
      <c r="B173" s="359"/>
      <c r="C173" s="359"/>
      <c r="D173" s="359"/>
      <c r="E173" s="359"/>
      <c r="F173" s="359"/>
      <c r="G173" s="359"/>
      <c r="H173" s="359"/>
      <c r="I173" s="359"/>
      <c r="J173" s="359"/>
      <c r="K173" s="359"/>
      <c r="L173" s="539"/>
      <c r="M173" s="539"/>
      <c r="N173" s="539"/>
      <c r="O173" s="539"/>
    </row>
    <row r="174" spans="2:15">
      <c r="B174" s="359"/>
      <c r="C174" s="359"/>
      <c r="D174" s="354" t="s">
        <v>740</v>
      </c>
      <c r="E174" s="354"/>
      <c r="F174" s="354"/>
      <c r="G174" s="354"/>
      <c r="H174" s="354"/>
      <c r="I174" s="354"/>
      <c r="J174" s="354"/>
      <c r="K174" s="359"/>
      <c r="L174" s="539"/>
      <c r="M174" s="539"/>
      <c r="N174" s="539"/>
      <c r="O174" s="539"/>
    </row>
    <row r="175" spans="2:15">
      <c r="B175" s="359"/>
      <c r="C175" s="359"/>
      <c r="D175" s="354" t="s">
        <v>413</v>
      </c>
      <c r="E175" s="354"/>
      <c r="F175" s="354"/>
      <c r="G175" s="354"/>
      <c r="H175" s="354"/>
      <c r="I175" s="354"/>
      <c r="J175" s="354"/>
      <c r="K175" s="359"/>
      <c r="L175" s="539"/>
      <c r="M175" s="539"/>
      <c r="N175" s="539"/>
      <c r="O175" s="539"/>
    </row>
    <row r="176" spans="2:15">
      <c r="B176" s="359"/>
      <c r="C176" s="359"/>
      <c r="D176" s="354" t="s">
        <v>202</v>
      </c>
      <c r="E176" s="354"/>
      <c r="F176" s="354"/>
      <c r="G176" s="354"/>
      <c r="H176" s="354"/>
      <c r="I176" s="354"/>
      <c r="J176" s="354"/>
      <c r="K176" s="359"/>
      <c r="L176" s="539"/>
      <c r="M176" s="539"/>
      <c r="N176" s="539"/>
      <c r="O176" s="539"/>
    </row>
    <row r="177" spans="2:15">
      <c r="B177" s="359"/>
      <c r="C177" s="359"/>
      <c r="D177" s="354" t="s">
        <v>207</v>
      </c>
      <c r="E177" s="354"/>
      <c r="F177" s="354"/>
      <c r="G177" s="354"/>
      <c r="H177" s="354"/>
      <c r="I177" s="354"/>
      <c r="J177" s="354"/>
      <c r="K177" s="359"/>
      <c r="L177" s="539"/>
      <c r="M177" s="539"/>
      <c r="N177" s="539"/>
      <c r="O177" s="539"/>
    </row>
    <row r="178" spans="2:15">
      <c r="B178" s="359"/>
      <c r="C178" s="359"/>
      <c r="D178" s="354" t="s">
        <v>1886</v>
      </c>
      <c r="E178" s="354"/>
      <c r="F178" s="354"/>
      <c r="G178" s="354"/>
      <c r="H178" s="354"/>
      <c r="I178" s="354"/>
      <c r="J178" s="354"/>
      <c r="K178" s="359"/>
      <c r="L178" s="539"/>
      <c r="M178" s="539"/>
      <c r="N178" s="539"/>
      <c r="O178" s="539"/>
    </row>
    <row r="179" spans="2:15">
      <c r="B179" s="359"/>
      <c r="C179" s="359"/>
      <c r="D179" s="354" t="s">
        <v>1887</v>
      </c>
      <c r="E179" s="354"/>
      <c r="F179" s="354"/>
      <c r="G179" s="354"/>
      <c r="H179" s="354"/>
      <c r="I179" s="354"/>
      <c r="J179" s="354"/>
      <c r="K179" s="359"/>
      <c r="L179" s="539"/>
      <c r="M179" s="539"/>
      <c r="N179" s="539"/>
      <c r="O179" s="539"/>
    </row>
    <row r="180" spans="2:15">
      <c r="B180" s="359"/>
      <c r="C180" s="359"/>
      <c r="D180" s="354" t="s">
        <v>1888</v>
      </c>
      <c r="E180" s="354"/>
      <c r="F180" s="354"/>
      <c r="G180" s="354"/>
      <c r="H180" s="354"/>
      <c r="I180" s="354"/>
      <c r="J180" s="354"/>
      <c r="K180" s="359"/>
      <c r="L180" s="539"/>
      <c r="M180" s="539"/>
      <c r="N180" s="539"/>
      <c r="O180" s="539"/>
    </row>
    <row r="181" spans="2:15">
      <c r="B181" s="359"/>
      <c r="C181" s="359"/>
      <c r="D181" s="359"/>
      <c r="E181" s="359"/>
      <c r="F181" s="359"/>
      <c r="G181" s="359"/>
      <c r="H181" s="359"/>
      <c r="I181" s="359"/>
      <c r="J181" s="359"/>
      <c r="K181" s="359"/>
      <c r="L181" s="539"/>
      <c r="M181" s="539"/>
      <c r="N181" s="539"/>
      <c r="O181" s="539"/>
    </row>
    <row r="182" spans="2:15">
      <c r="B182" s="359"/>
      <c r="C182" s="359" t="s">
        <v>1889</v>
      </c>
      <c r="D182" s="359"/>
      <c r="E182" s="359"/>
      <c r="F182" s="359"/>
      <c r="G182" s="359"/>
      <c r="H182" s="359"/>
      <c r="I182" s="359"/>
      <c r="J182" s="359"/>
      <c r="K182" s="359"/>
      <c r="L182" s="539"/>
      <c r="M182" s="539"/>
      <c r="N182" s="539"/>
      <c r="O182" s="539"/>
    </row>
    <row r="183" spans="2:15">
      <c r="B183" s="359"/>
      <c r="C183" s="359"/>
      <c r="D183" s="359"/>
      <c r="E183" s="359"/>
      <c r="F183" s="359"/>
      <c r="G183" s="359"/>
      <c r="H183" s="359"/>
      <c r="I183" s="359"/>
      <c r="J183" s="359"/>
      <c r="K183" s="359"/>
      <c r="L183" s="539"/>
      <c r="M183" s="539"/>
      <c r="N183" s="539"/>
      <c r="O183" s="539"/>
    </row>
    <row r="184" spans="2:15">
      <c r="B184" s="359"/>
      <c r="C184" s="359" t="s">
        <v>1890</v>
      </c>
      <c r="D184" s="359" t="s">
        <v>1891</v>
      </c>
      <c r="E184" s="359"/>
      <c r="F184" s="359"/>
      <c r="G184" s="359"/>
      <c r="H184" s="359"/>
      <c r="I184" s="359"/>
      <c r="J184" s="369">
        <f>+M75</f>
        <v>0</v>
      </c>
      <c r="K184" s="359"/>
      <c r="L184" s="539"/>
      <c r="M184" s="539"/>
      <c r="N184" s="539"/>
      <c r="O184" s="539"/>
    </row>
    <row r="185" spans="2:15">
      <c r="B185" s="359"/>
      <c r="C185" s="359" t="s">
        <v>1892</v>
      </c>
      <c r="D185" s="359" t="s">
        <v>1893</v>
      </c>
      <c r="E185" s="359"/>
      <c r="F185" s="359"/>
      <c r="G185" s="359"/>
      <c r="H185" s="359"/>
      <c r="I185" s="359"/>
      <c r="J185" s="372">
        <f>+N75</f>
        <v>0</v>
      </c>
      <c r="K185" s="359"/>
      <c r="L185" s="539"/>
      <c r="M185" s="539"/>
      <c r="N185" s="539"/>
      <c r="O185" s="539"/>
    </row>
    <row r="186" spans="2:15">
      <c r="B186" s="359"/>
      <c r="C186" s="359" t="s">
        <v>1894</v>
      </c>
      <c r="D186" s="359" t="s">
        <v>1895</v>
      </c>
      <c r="E186" s="359"/>
      <c r="F186" s="359"/>
      <c r="G186" s="359"/>
      <c r="H186" s="359"/>
      <c r="I186" s="359"/>
      <c r="J186" s="369">
        <f>+J184+J185</f>
        <v>0</v>
      </c>
      <c r="K186" s="359"/>
      <c r="L186" s="539"/>
      <c r="M186" s="539"/>
      <c r="N186" s="539"/>
      <c r="O186" s="539"/>
    </row>
    <row r="187" spans="2:15">
      <c r="B187" s="359"/>
      <c r="C187" s="359"/>
      <c r="D187" s="359"/>
      <c r="E187" s="359"/>
      <c r="F187" s="359"/>
      <c r="G187" s="359"/>
      <c r="H187" s="359"/>
      <c r="I187" s="359"/>
      <c r="J187" s="359"/>
      <c r="K187" s="359"/>
      <c r="L187" s="539"/>
      <c r="M187" s="539"/>
      <c r="N187" s="539"/>
      <c r="O187" s="539"/>
    </row>
    <row r="188" spans="2:15">
      <c r="B188" s="359"/>
      <c r="C188" s="359"/>
      <c r="D188" s="359"/>
      <c r="E188" s="359"/>
      <c r="F188" s="359"/>
      <c r="G188" s="359"/>
      <c r="H188" s="359"/>
      <c r="I188" s="359"/>
      <c r="J188" s="359"/>
      <c r="K188" s="359"/>
      <c r="L188" s="539"/>
      <c r="M188" s="539"/>
      <c r="N188" s="539"/>
      <c r="O188" s="539"/>
    </row>
    <row r="189" spans="2:15">
      <c r="B189" s="359" t="s">
        <v>1880</v>
      </c>
      <c r="C189" s="359"/>
      <c r="D189" s="359"/>
      <c r="E189" s="359"/>
      <c r="F189" s="359"/>
      <c r="G189" s="359"/>
      <c r="H189" s="359"/>
      <c r="I189" s="359"/>
      <c r="J189" s="359"/>
      <c r="K189" s="359"/>
      <c r="L189" s="539"/>
      <c r="M189" s="539"/>
      <c r="N189" s="539"/>
      <c r="O189" s="539"/>
    </row>
    <row r="190" spans="2:15">
      <c r="B190" s="359"/>
      <c r="C190" s="359"/>
      <c r="D190" s="359"/>
      <c r="E190" s="359"/>
      <c r="F190" s="359"/>
      <c r="G190" s="359"/>
      <c r="H190" s="359"/>
      <c r="I190" s="359"/>
      <c r="J190" s="359"/>
      <c r="K190" s="359"/>
      <c r="L190" s="539"/>
      <c r="M190" s="539"/>
      <c r="N190" s="539"/>
      <c r="O190" s="539"/>
    </row>
    <row r="191" spans="2:15">
      <c r="B191" s="359"/>
      <c r="C191" s="359"/>
      <c r="D191" s="359"/>
      <c r="E191" s="359"/>
      <c r="F191" s="359"/>
      <c r="G191" s="359"/>
      <c r="H191" s="359"/>
      <c r="I191" s="359"/>
      <c r="J191" s="359"/>
      <c r="K191" s="359"/>
      <c r="L191" s="539"/>
      <c r="M191" s="539"/>
      <c r="N191" s="539"/>
      <c r="O191" s="539"/>
    </row>
    <row r="192" spans="2:15">
      <c r="B192" s="359"/>
      <c r="C192" s="359"/>
      <c r="D192" s="359"/>
      <c r="E192" s="359"/>
      <c r="F192" s="359"/>
      <c r="G192" s="359"/>
      <c r="H192" s="359"/>
      <c r="I192" s="359"/>
      <c r="J192" s="359"/>
      <c r="K192" s="359"/>
      <c r="L192" s="539"/>
      <c r="M192" s="539"/>
      <c r="N192" s="539"/>
      <c r="O192" s="539"/>
    </row>
    <row r="193" spans="2:15">
      <c r="B193" s="359"/>
      <c r="C193" s="359"/>
      <c r="D193" s="351">
        <v>0.8110010027885437</v>
      </c>
      <c r="E193" s="359"/>
      <c r="F193" s="359"/>
      <c r="G193" s="361"/>
      <c r="H193" s="361"/>
      <c r="I193" s="361"/>
      <c r="J193" s="361"/>
      <c r="K193" s="359"/>
      <c r="L193" s="539"/>
      <c r="M193" s="539"/>
      <c r="N193" s="539"/>
      <c r="O193" s="539"/>
    </row>
    <row r="194" spans="2:15">
      <c r="B194" s="359"/>
      <c r="C194" s="359"/>
      <c r="D194" s="359"/>
      <c r="E194" s="359"/>
      <c r="F194" s="359"/>
      <c r="G194" s="359"/>
      <c r="H194" s="363" t="s">
        <v>1881</v>
      </c>
      <c r="I194" s="363"/>
      <c r="J194" s="363"/>
      <c r="K194" s="359"/>
      <c r="L194" s="539"/>
      <c r="M194" s="539"/>
      <c r="N194" s="539"/>
      <c r="O194" s="539"/>
    </row>
    <row r="195" spans="2:15">
      <c r="B195" s="359"/>
      <c r="C195" s="359"/>
      <c r="D195" s="359"/>
      <c r="E195" s="359"/>
      <c r="F195" s="359"/>
      <c r="G195" s="359"/>
      <c r="H195" s="359"/>
      <c r="I195" s="359"/>
      <c r="J195" s="359"/>
      <c r="K195" s="359"/>
      <c r="L195" s="539"/>
      <c r="M195" s="539"/>
      <c r="N195" s="539"/>
      <c r="O195" s="539"/>
    </row>
    <row r="196" spans="2:15">
      <c r="B196" s="359"/>
      <c r="C196" s="359"/>
      <c r="D196" s="359"/>
      <c r="E196" s="359"/>
      <c r="F196" s="359"/>
      <c r="G196" s="359"/>
      <c r="H196" s="359"/>
      <c r="I196" s="359"/>
      <c r="J196" s="359"/>
      <c r="K196" s="359"/>
      <c r="L196" s="539"/>
      <c r="M196" s="539"/>
      <c r="N196" s="539"/>
      <c r="O196" s="539"/>
    </row>
    <row r="197" spans="2:15">
      <c r="B197" s="359"/>
      <c r="C197" s="359"/>
      <c r="D197" s="359"/>
      <c r="E197" s="359"/>
      <c r="F197" s="364" t="s">
        <v>1882</v>
      </c>
      <c r="G197" s="361"/>
      <c r="H197" s="361"/>
      <c r="I197" s="361"/>
      <c r="J197" s="361"/>
      <c r="K197" s="359"/>
      <c r="L197" s="539"/>
      <c r="M197" s="539"/>
      <c r="N197" s="539"/>
      <c r="O197" s="539"/>
    </row>
    <row r="198" spans="2:15">
      <c r="B198" s="359"/>
      <c r="C198" s="359"/>
      <c r="D198" s="359"/>
      <c r="E198" s="359"/>
      <c r="F198" s="359"/>
      <c r="G198" s="359"/>
      <c r="H198" s="359"/>
      <c r="I198" s="359"/>
      <c r="J198" s="359"/>
      <c r="K198" s="359"/>
      <c r="L198" s="539"/>
      <c r="M198" s="539"/>
      <c r="N198" s="539"/>
      <c r="O198" s="539"/>
    </row>
    <row r="199" spans="2:15">
      <c r="B199" s="359"/>
      <c r="C199" s="359"/>
      <c r="D199" s="359"/>
      <c r="E199" s="359"/>
      <c r="F199" s="359"/>
      <c r="G199" s="359"/>
      <c r="H199" s="359"/>
      <c r="I199" s="359"/>
      <c r="J199" s="359"/>
      <c r="K199" s="359"/>
      <c r="L199" s="539"/>
      <c r="M199" s="539"/>
      <c r="N199" s="539"/>
      <c r="O199" s="539"/>
    </row>
    <row r="200" spans="2:15">
      <c r="B200" s="361"/>
      <c r="C200" s="361"/>
      <c r="D200" s="361"/>
      <c r="E200" s="359"/>
      <c r="F200" s="359"/>
      <c r="G200" s="359"/>
      <c r="H200" s="359"/>
      <c r="I200" s="359"/>
      <c r="J200" s="359"/>
      <c r="K200" s="359"/>
      <c r="L200" s="539"/>
      <c r="M200" s="539"/>
      <c r="N200" s="539"/>
      <c r="O200" s="539"/>
    </row>
    <row r="201" spans="2:15">
      <c r="B201" s="363" t="s">
        <v>1883</v>
      </c>
      <c r="C201" s="363"/>
      <c r="D201" s="363"/>
      <c r="E201" s="359"/>
      <c r="F201" s="359"/>
      <c r="G201" s="359"/>
      <c r="H201" s="359"/>
      <c r="I201" s="359"/>
      <c r="J201" s="359"/>
      <c r="K201" s="359"/>
      <c r="L201" s="539"/>
      <c r="M201" s="539"/>
      <c r="N201" s="539"/>
      <c r="O201" s="539"/>
    </row>
    <row r="202" spans="2:15">
      <c r="B202" s="359"/>
      <c r="C202" s="359"/>
      <c r="D202" s="359"/>
      <c r="E202" s="359"/>
      <c r="F202" s="359"/>
      <c r="G202" s="359"/>
      <c r="H202" s="359"/>
      <c r="I202" s="359"/>
      <c r="J202" s="359"/>
      <c r="K202" s="359"/>
      <c r="L202" s="539"/>
      <c r="M202" s="539"/>
      <c r="N202" s="539"/>
      <c r="O202" s="539"/>
    </row>
    <row r="203" spans="2:15">
      <c r="B203" s="359"/>
      <c r="C203" s="359"/>
      <c r="D203" s="359"/>
      <c r="E203" s="359"/>
      <c r="F203" s="359"/>
      <c r="G203" s="359"/>
      <c r="H203" s="359"/>
      <c r="I203" s="359"/>
      <c r="J203" s="359"/>
      <c r="K203" s="359"/>
      <c r="L203" s="539"/>
      <c r="M203" s="539"/>
      <c r="N203" s="539"/>
      <c r="O203" s="539"/>
    </row>
    <row r="204" spans="2:15">
      <c r="B204" s="354" t="s">
        <v>1884</v>
      </c>
      <c r="C204" s="354"/>
      <c r="D204" s="354"/>
      <c r="E204" s="354"/>
      <c r="F204" s="354"/>
      <c r="G204" s="354"/>
      <c r="H204" s="354"/>
      <c r="I204" s="354"/>
      <c r="J204" s="354"/>
      <c r="K204" s="359"/>
      <c r="L204" s="539"/>
      <c r="M204" s="539"/>
      <c r="N204" s="539"/>
      <c r="O204" s="539"/>
    </row>
    <row r="205" spans="2:15">
      <c r="B205" s="359"/>
      <c r="C205" s="359"/>
      <c r="D205" s="359"/>
      <c r="E205" s="359"/>
      <c r="F205" s="359"/>
      <c r="G205" s="359"/>
      <c r="H205" s="359"/>
      <c r="I205" s="359"/>
      <c r="J205" s="359"/>
      <c r="K205" s="359"/>
      <c r="L205" s="539"/>
      <c r="M205" s="539"/>
      <c r="N205" s="539"/>
      <c r="O205" s="539"/>
    </row>
    <row r="206" spans="2:15">
      <c r="B206" s="365" t="s">
        <v>1024</v>
      </c>
      <c r="C206" s="354" t="s">
        <v>675</v>
      </c>
      <c r="D206" s="354"/>
      <c r="E206" s="354"/>
      <c r="F206" s="354"/>
      <c r="G206" s="354"/>
      <c r="H206" s="354"/>
      <c r="I206" s="354"/>
      <c r="J206" s="354"/>
      <c r="K206" s="359"/>
      <c r="L206" s="539"/>
      <c r="M206" s="539"/>
      <c r="N206" s="539"/>
      <c r="O206" s="539"/>
    </row>
    <row r="207" spans="2:15">
      <c r="B207" s="365"/>
      <c r="C207" s="354" t="s">
        <v>676</v>
      </c>
      <c r="D207" s="354"/>
      <c r="E207" s="354"/>
      <c r="F207" s="354"/>
      <c r="G207" s="354"/>
      <c r="H207" s="354"/>
      <c r="I207" s="354"/>
      <c r="J207" s="354"/>
      <c r="K207" s="359"/>
      <c r="L207" s="539"/>
      <c r="M207" s="539"/>
      <c r="N207" s="539"/>
      <c r="O207" s="539"/>
    </row>
    <row r="208" spans="2:15">
      <c r="B208" s="362"/>
      <c r="C208" s="359"/>
      <c r="D208" s="359"/>
      <c r="E208" s="359"/>
      <c r="F208" s="359"/>
      <c r="G208" s="359"/>
      <c r="H208" s="359"/>
      <c r="I208" s="359"/>
      <c r="J208" s="359"/>
      <c r="K208" s="359"/>
      <c r="L208" s="539"/>
      <c r="M208" s="539"/>
      <c r="N208" s="539"/>
      <c r="O208" s="539"/>
    </row>
    <row r="209" spans="2:15">
      <c r="B209" s="365" t="s">
        <v>1025</v>
      </c>
      <c r="C209" s="354" t="s">
        <v>677</v>
      </c>
      <c r="D209" s="354"/>
      <c r="E209" s="354"/>
      <c r="F209" s="354"/>
      <c r="G209" s="354"/>
      <c r="H209" s="354"/>
      <c r="I209" s="354"/>
      <c r="J209" s="354"/>
      <c r="K209" s="359"/>
      <c r="L209" s="539"/>
      <c r="M209" s="539"/>
      <c r="N209" s="539"/>
      <c r="O209" s="539"/>
    </row>
    <row r="210" spans="2:15">
      <c r="B210" s="359"/>
      <c r="C210" s="359"/>
      <c r="D210" s="359"/>
      <c r="E210" s="359"/>
      <c r="F210" s="359"/>
      <c r="G210" s="359"/>
      <c r="H210" s="359"/>
      <c r="I210" s="359"/>
      <c r="J210" s="359"/>
      <c r="K210" s="359"/>
      <c r="L210" s="539"/>
      <c r="M210" s="539"/>
      <c r="N210" s="539"/>
      <c r="O210" s="539"/>
    </row>
    <row r="211" spans="2:15">
      <c r="B211" s="359"/>
      <c r="C211" s="359"/>
      <c r="D211" s="555"/>
      <c r="E211" s="359" t="s">
        <v>678</v>
      </c>
      <c r="F211" s="359"/>
      <c r="G211" s="359"/>
      <c r="H211" s="359"/>
      <c r="I211" s="359"/>
      <c r="J211" s="359"/>
      <c r="K211" s="359"/>
      <c r="L211" s="539"/>
      <c r="M211" s="539"/>
      <c r="N211" s="539"/>
      <c r="O211" s="539"/>
    </row>
    <row r="212" spans="2:15">
      <c r="B212" s="359"/>
      <c r="C212" s="539" t="str">
        <f>IF(D211="","",D211)</f>
        <v/>
      </c>
      <c r="D212" s="555" t="s">
        <v>134</v>
      </c>
      <c r="E212" s="359" t="s">
        <v>1936</v>
      </c>
      <c r="F212" s="359"/>
      <c r="G212" s="359"/>
      <c r="H212" s="359"/>
      <c r="I212" s="359"/>
      <c r="J212" s="359"/>
      <c r="K212" s="359"/>
      <c r="L212" s="539"/>
      <c r="M212" s="539"/>
      <c r="N212" s="539"/>
      <c r="O212" s="539"/>
    </row>
    <row r="213" spans="2:15">
      <c r="B213" s="359"/>
      <c r="C213" s="359"/>
      <c r="D213" s="645" t="str">
        <f>IF(syn_public_offer&lt;&gt;"",IF(syn_private_offer&lt;&gt;"","You can only check one block!",""),IF(syn_private_offer="","You must check at least one block!",""))</f>
        <v/>
      </c>
      <c r="E213" s="359"/>
      <c r="F213" s="359"/>
      <c r="G213" s="359"/>
      <c r="H213" s="359"/>
      <c r="I213" s="359"/>
      <c r="J213" s="359"/>
      <c r="K213" s="359"/>
      <c r="L213" s="539"/>
      <c r="M213" s="539"/>
      <c r="N213" s="539"/>
      <c r="O213" s="539"/>
    </row>
    <row r="214" spans="2:15">
      <c r="B214" s="359"/>
      <c r="C214" s="359"/>
      <c r="D214" s="354" t="s">
        <v>1503</v>
      </c>
      <c r="E214" s="354"/>
      <c r="F214" s="354"/>
      <c r="G214" s="354"/>
      <c r="H214" s="354"/>
      <c r="I214" s="354"/>
      <c r="J214" s="354"/>
      <c r="K214" s="359"/>
      <c r="L214" s="539"/>
      <c r="M214" s="539"/>
      <c r="N214" s="539"/>
      <c r="O214" s="539"/>
    </row>
    <row r="215" spans="2:15">
      <c r="B215" s="359"/>
      <c r="C215" s="359"/>
      <c r="D215" s="354" t="s">
        <v>1504</v>
      </c>
      <c r="E215" s="354"/>
      <c r="F215" s="354"/>
      <c r="G215" s="354"/>
      <c r="H215" s="354"/>
      <c r="I215" s="354"/>
      <c r="J215" s="354"/>
      <c r="K215" s="359"/>
      <c r="L215" s="539"/>
      <c r="M215" s="539"/>
      <c r="N215" s="539"/>
      <c r="O215" s="539"/>
    </row>
    <row r="216" spans="2:15">
      <c r="B216" s="359"/>
      <c r="C216" s="359"/>
      <c r="D216" s="359"/>
      <c r="E216" s="359"/>
      <c r="F216" s="359"/>
      <c r="G216" s="359"/>
      <c r="H216" s="359"/>
      <c r="I216" s="359"/>
      <c r="J216" s="359"/>
      <c r="K216" s="359"/>
      <c r="L216" s="539"/>
      <c r="M216" s="539"/>
      <c r="N216" s="539"/>
      <c r="O216" s="539"/>
    </row>
    <row r="217" spans="2:15">
      <c r="B217" s="359" t="s">
        <v>1505</v>
      </c>
      <c r="C217" s="359"/>
      <c r="D217" s="359"/>
      <c r="E217" s="359"/>
      <c r="F217" s="359"/>
      <c r="G217" s="359"/>
      <c r="H217" s="359"/>
      <c r="I217" s="359"/>
      <c r="J217" s="359"/>
      <c r="K217" s="359"/>
      <c r="L217" s="539"/>
      <c r="M217" s="539"/>
      <c r="N217" s="539"/>
      <c r="O217" s="539"/>
    </row>
    <row r="218" spans="2:15">
      <c r="B218" s="359"/>
      <c r="C218" s="359"/>
      <c r="D218" s="359"/>
      <c r="E218" s="359"/>
      <c r="F218" s="359"/>
      <c r="G218" s="359"/>
      <c r="H218" s="359"/>
      <c r="I218" s="359"/>
      <c r="J218" s="359"/>
      <c r="K218" s="359"/>
      <c r="L218" s="539"/>
      <c r="M218" s="539"/>
      <c r="N218" s="539"/>
      <c r="O218" s="539"/>
    </row>
    <row r="219" spans="2:15">
      <c r="B219" s="359"/>
      <c r="C219" s="359"/>
      <c r="D219" s="359"/>
      <c r="E219" s="359"/>
      <c r="F219" s="359"/>
      <c r="G219" s="359"/>
      <c r="H219" s="359"/>
      <c r="I219" s="359"/>
      <c r="J219" s="359"/>
      <c r="K219" s="359"/>
      <c r="L219" s="539"/>
      <c r="M219" s="539"/>
      <c r="N219" s="539"/>
      <c r="O219" s="539"/>
    </row>
    <row r="220" spans="2:15">
      <c r="B220" s="359"/>
      <c r="C220" s="359"/>
      <c r="D220" s="359"/>
      <c r="E220" s="359"/>
      <c r="F220" s="359"/>
      <c r="G220" s="359"/>
      <c r="H220" s="361"/>
      <c r="I220" s="361"/>
      <c r="J220" s="361"/>
      <c r="K220" s="359"/>
      <c r="L220" s="539"/>
      <c r="M220" s="539"/>
      <c r="N220" s="539"/>
      <c r="O220" s="539"/>
    </row>
    <row r="221" spans="2:15">
      <c r="B221" s="359"/>
      <c r="C221" s="359"/>
      <c r="D221" s="359"/>
      <c r="E221" s="359"/>
      <c r="F221" s="359"/>
      <c r="G221" s="359"/>
      <c r="H221" s="363" t="s">
        <v>1506</v>
      </c>
      <c r="I221" s="363"/>
      <c r="J221" s="363"/>
      <c r="K221" s="359"/>
      <c r="L221" s="539"/>
      <c r="M221" s="539"/>
      <c r="N221" s="539"/>
      <c r="O221" s="539"/>
    </row>
    <row r="222" spans="2:15">
      <c r="B222" s="359"/>
      <c r="C222" s="359"/>
      <c r="D222" s="359"/>
      <c r="E222" s="359"/>
      <c r="F222" s="359"/>
      <c r="G222" s="359"/>
      <c r="H222" s="359"/>
      <c r="I222" s="359"/>
      <c r="J222" s="359"/>
      <c r="K222" s="359"/>
      <c r="L222" s="539"/>
      <c r="M222" s="539"/>
      <c r="N222" s="539"/>
      <c r="O222" s="539"/>
    </row>
    <row r="223" spans="2:15">
      <c r="B223" s="359"/>
      <c r="C223" s="359"/>
      <c r="D223" s="359"/>
      <c r="E223" s="359"/>
      <c r="F223" s="359"/>
      <c r="G223" s="364" t="s">
        <v>1882</v>
      </c>
      <c r="H223" s="361"/>
      <c r="I223" s="361"/>
      <c r="J223" s="361"/>
      <c r="K223" s="359"/>
      <c r="L223" s="539"/>
      <c r="M223" s="539"/>
      <c r="N223" s="539"/>
      <c r="O223" s="539"/>
    </row>
    <row r="224" spans="2:15">
      <c r="B224" s="359"/>
      <c r="C224" s="359"/>
      <c r="D224" s="359"/>
      <c r="E224" s="359"/>
      <c r="F224" s="359"/>
      <c r="G224" s="359"/>
      <c r="H224" s="359"/>
      <c r="I224" s="359"/>
      <c r="J224" s="359"/>
      <c r="K224" s="359"/>
      <c r="L224" s="539"/>
      <c r="M224" s="539"/>
      <c r="N224" s="539"/>
      <c r="O224" s="539"/>
    </row>
    <row r="225" spans="2:15">
      <c r="B225" s="359"/>
      <c r="C225" s="359"/>
      <c r="D225" s="359"/>
      <c r="E225" s="359"/>
      <c r="F225" s="359"/>
      <c r="G225" s="364" t="s">
        <v>1507</v>
      </c>
      <c r="H225" s="361"/>
      <c r="I225" s="361"/>
      <c r="J225" s="361"/>
      <c r="K225" s="359"/>
      <c r="L225" s="539"/>
      <c r="M225" s="539"/>
      <c r="N225" s="539"/>
      <c r="O225" s="539"/>
    </row>
    <row r="226" spans="2:15">
      <c r="B226" s="359"/>
      <c r="C226" s="359"/>
      <c r="D226" s="359"/>
      <c r="E226" s="359"/>
      <c r="F226" s="359"/>
      <c r="G226" s="359"/>
      <c r="H226" s="359"/>
      <c r="I226" s="359"/>
      <c r="J226" s="359"/>
      <c r="K226" s="359"/>
      <c r="L226" s="539"/>
      <c r="M226" s="539"/>
      <c r="N226" s="539"/>
      <c r="O226" s="539"/>
    </row>
    <row r="227" spans="2:15">
      <c r="B227" s="631"/>
      <c r="C227" s="359"/>
      <c r="D227" s="359"/>
      <c r="E227" s="359"/>
      <c r="F227" s="359"/>
      <c r="G227" s="359"/>
      <c r="H227" s="359"/>
      <c r="I227" s="359"/>
      <c r="J227" s="359"/>
      <c r="K227" s="359"/>
      <c r="L227" s="539"/>
      <c r="M227" s="539"/>
      <c r="N227" s="539"/>
      <c r="O227" s="539"/>
    </row>
    <row r="228" spans="2:15">
      <c r="B228" s="359"/>
      <c r="C228" s="359"/>
      <c r="D228" s="359"/>
      <c r="E228" s="359"/>
      <c r="F228" s="359"/>
      <c r="G228" s="359"/>
      <c r="H228" s="359"/>
      <c r="I228" s="359"/>
      <c r="J228" s="359"/>
      <c r="K228" s="359"/>
      <c r="L228" s="539"/>
      <c r="M228" s="539"/>
      <c r="N228" s="539"/>
      <c r="O228" s="539"/>
    </row>
    <row r="229" spans="2:15">
      <c r="B229" s="359"/>
      <c r="C229" s="359"/>
      <c r="D229" s="359"/>
      <c r="E229" s="359"/>
      <c r="F229" s="359"/>
      <c r="G229" s="359"/>
      <c r="H229" s="359"/>
      <c r="I229" s="359"/>
      <c r="J229" s="359"/>
      <c r="K229" s="359"/>
      <c r="L229" s="539"/>
      <c r="M229" s="539"/>
      <c r="N229" s="539"/>
      <c r="O229" s="539"/>
    </row>
    <row r="230" spans="2:15">
      <c r="B230" s="359"/>
      <c r="C230" s="359"/>
      <c r="D230" s="359"/>
      <c r="E230" s="359"/>
      <c r="F230" s="359"/>
      <c r="G230" s="359"/>
      <c r="H230" s="359"/>
      <c r="I230" s="359"/>
      <c r="J230" s="359"/>
      <c r="K230" s="359"/>
      <c r="L230" s="539"/>
      <c r="M230" s="539"/>
      <c r="N230" s="539"/>
      <c r="O230" s="539"/>
    </row>
    <row r="231" spans="2:15">
      <c r="B231" s="359"/>
      <c r="C231" s="359"/>
      <c r="D231" s="359"/>
      <c r="E231" s="359"/>
      <c r="F231" s="359"/>
      <c r="G231" s="359"/>
      <c r="H231" s="359"/>
      <c r="I231" s="359"/>
      <c r="J231" s="359"/>
      <c r="K231" s="359"/>
      <c r="L231" s="539"/>
      <c r="M231" s="539"/>
      <c r="N231" s="539"/>
      <c r="O231" s="539"/>
    </row>
    <row r="232" spans="2:15">
      <c r="B232" s="359"/>
      <c r="C232" s="359"/>
      <c r="D232" s="359"/>
      <c r="E232" s="359"/>
      <c r="F232" s="359"/>
      <c r="G232" s="359"/>
      <c r="H232" s="359"/>
      <c r="I232" s="359"/>
      <c r="J232" s="359"/>
      <c r="K232" s="359"/>
      <c r="L232" s="539"/>
      <c r="M232" s="539"/>
      <c r="N232" s="539"/>
      <c r="O232" s="539"/>
    </row>
    <row r="233" spans="2:15">
      <c r="B233" s="359"/>
      <c r="C233" s="359"/>
      <c r="D233" s="359"/>
      <c r="E233" s="359"/>
      <c r="F233" s="359"/>
      <c r="G233" s="359"/>
      <c r="H233" s="359"/>
      <c r="I233" s="359"/>
      <c r="J233" s="359"/>
      <c r="K233" s="359"/>
      <c r="L233" s="539"/>
      <c r="M233" s="539"/>
      <c r="N233" s="539"/>
      <c r="O233" s="539"/>
    </row>
    <row r="234" spans="2:15">
      <c r="L234" s="441"/>
      <c r="M234" s="441"/>
      <c r="N234" s="441"/>
      <c r="O234" s="441"/>
    </row>
    <row r="235" spans="2:15">
      <c r="L235" s="441"/>
      <c r="M235" s="441"/>
      <c r="N235" s="441"/>
      <c r="O235" s="441"/>
    </row>
    <row r="236" spans="2:15">
      <c r="L236" s="441"/>
      <c r="M236" s="441"/>
      <c r="N236" s="441"/>
      <c r="O236" s="441"/>
    </row>
    <row r="237" spans="2:15">
      <c r="L237" s="441"/>
      <c r="M237" s="441"/>
      <c r="N237" s="441"/>
      <c r="O237" s="441"/>
    </row>
    <row r="238" spans="2:15">
      <c r="L238" s="441"/>
      <c r="M238" s="441"/>
      <c r="N238" s="441"/>
      <c r="O238" s="441"/>
    </row>
    <row r="239" spans="2:15">
      <c r="L239" s="441"/>
      <c r="M239" s="441"/>
      <c r="N239" s="441"/>
      <c r="O239" s="441"/>
    </row>
    <row r="240" spans="2:15">
      <c r="L240" s="441"/>
      <c r="M240" s="441"/>
      <c r="N240" s="441"/>
      <c r="O240" s="441"/>
    </row>
    <row r="241" spans="12:15">
      <c r="L241" s="441"/>
      <c r="M241" s="441"/>
      <c r="N241" s="441"/>
      <c r="O241" s="441"/>
    </row>
    <row r="242" spans="12:15">
      <c r="L242" s="441"/>
      <c r="M242" s="441"/>
      <c r="N242" s="441"/>
      <c r="O242" s="441"/>
    </row>
    <row r="243" spans="12:15">
      <c r="L243" s="441"/>
      <c r="M243" s="441"/>
      <c r="N243" s="441"/>
      <c r="O243" s="441"/>
    </row>
    <row r="244" spans="12:15">
      <c r="L244" s="441"/>
      <c r="M244" s="441"/>
      <c r="N244" s="441"/>
      <c r="O244" s="441"/>
    </row>
    <row r="245" spans="12:15">
      <c r="L245" s="441"/>
      <c r="M245" s="441"/>
      <c r="N245" s="441"/>
      <c r="O245" s="441"/>
    </row>
    <row r="246" spans="12:15">
      <c r="L246" s="441"/>
      <c r="M246" s="441"/>
      <c r="N246" s="441"/>
      <c r="O246" s="441"/>
    </row>
    <row r="247" spans="12:15">
      <c r="L247" s="441"/>
      <c r="M247" s="441"/>
      <c r="N247" s="441"/>
      <c r="O247" s="441"/>
    </row>
    <row r="248" spans="12:15">
      <c r="L248" s="441"/>
      <c r="M248" s="441"/>
      <c r="N248" s="441"/>
      <c r="O248" s="441"/>
    </row>
    <row r="249" spans="12:15">
      <c r="L249" s="441"/>
      <c r="M249" s="441"/>
      <c r="N249" s="441"/>
      <c r="O249" s="441"/>
    </row>
    <row r="250" spans="12:15">
      <c r="L250" s="441"/>
      <c r="M250" s="441"/>
      <c r="N250" s="441"/>
      <c r="O250" s="441"/>
    </row>
    <row r="251" spans="12:15">
      <c r="L251" s="441"/>
      <c r="M251" s="441"/>
      <c r="N251" s="441"/>
      <c r="O251" s="441"/>
    </row>
    <row r="252" spans="12:15">
      <c r="L252" s="441"/>
      <c r="M252" s="441"/>
      <c r="N252" s="441"/>
      <c r="O252" s="441"/>
    </row>
    <row r="253" spans="12:15">
      <c r="L253" s="441"/>
      <c r="M253" s="441"/>
      <c r="N253" s="441"/>
      <c r="O253" s="441"/>
    </row>
    <row r="254" spans="12:15">
      <c r="L254" s="441"/>
      <c r="M254" s="441"/>
      <c r="N254" s="441"/>
      <c r="O254" s="441"/>
    </row>
    <row r="255" spans="12:15">
      <c r="L255" s="441"/>
      <c r="M255" s="441"/>
      <c r="N255" s="441"/>
      <c r="O255" s="441"/>
    </row>
    <row r="256" spans="12:15">
      <c r="L256" s="441"/>
      <c r="M256" s="441"/>
      <c r="N256" s="441"/>
      <c r="O256" s="441"/>
    </row>
    <row r="257" spans="12:15">
      <c r="L257" s="441"/>
      <c r="M257" s="441"/>
      <c r="N257" s="441"/>
      <c r="O257" s="441"/>
    </row>
    <row r="258" spans="12:15">
      <c r="L258" s="441"/>
      <c r="M258" s="441"/>
      <c r="N258" s="441"/>
      <c r="O258" s="441"/>
    </row>
    <row r="259" spans="12:15">
      <c r="L259" s="441"/>
      <c r="M259" s="441"/>
      <c r="N259" s="441"/>
      <c r="O259" s="441"/>
    </row>
    <row r="260" spans="12:15">
      <c r="L260" s="441"/>
      <c r="M260" s="441"/>
      <c r="N260" s="441"/>
      <c r="O260" s="441"/>
    </row>
    <row r="261" spans="12:15">
      <c r="L261" s="441"/>
      <c r="M261" s="441"/>
      <c r="N261" s="441"/>
      <c r="O261" s="441"/>
    </row>
    <row r="262" spans="12:15">
      <c r="L262" s="441"/>
      <c r="M262" s="441"/>
      <c r="N262" s="441"/>
      <c r="O262" s="441"/>
    </row>
    <row r="263" spans="12:15">
      <c r="L263" s="441"/>
      <c r="M263" s="441"/>
      <c r="N263" s="441"/>
      <c r="O263" s="441"/>
    </row>
    <row r="264" spans="12:15">
      <c r="L264" s="441"/>
      <c r="M264" s="441"/>
      <c r="N264" s="441"/>
      <c r="O264" s="441"/>
    </row>
    <row r="265" spans="12:15">
      <c r="L265" s="441"/>
      <c r="M265" s="441"/>
      <c r="N265" s="441"/>
      <c r="O265" s="441"/>
    </row>
    <row r="266" spans="12:15">
      <c r="L266" s="441"/>
      <c r="M266" s="441"/>
      <c r="N266" s="441"/>
      <c r="O266" s="441"/>
    </row>
    <row r="267" spans="12:15">
      <c r="L267" s="441"/>
      <c r="M267" s="441"/>
      <c r="N267" s="441"/>
      <c r="O267" s="441"/>
    </row>
    <row r="268" spans="12:15">
      <c r="L268" s="441"/>
      <c r="M268" s="441"/>
      <c r="N268" s="441"/>
      <c r="O268" s="441"/>
    </row>
    <row r="269" spans="12:15">
      <c r="L269" s="441"/>
      <c r="M269" s="441"/>
      <c r="N269" s="441"/>
      <c r="O269" s="441"/>
    </row>
    <row r="270" spans="12:15">
      <c r="L270" s="441"/>
      <c r="M270" s="441"/>
      <c r="N270" s="441"/>
      <c r="O270" s="441"/>
    </row>
    <row r="271" spans="12:15">
      <c r="L271" s="441"/>
      <c r="M271" s="441"/>
      <c r="N271" s="441"/>
      <c r="O271" s="441"/>
    </row>
    <row r="272" spans="12:15">
      <c r="L272" s="441"/>
      <c r="M272" s="441"/>
      <c r="N272" s="441"/>
      <c r="O272" s="441"/>
    </row>
    <row r="273" spans="12:15">
      <c r="L273" s="441"/>
      <c r="M273" s="441"/>
      <c r="N273" s="441"/>
      <c r="O273" s="441"/>
    </row>
    <row r="274" spans="12:15">
      <c r="L274" s="441"/>
      <c r="M274" s="441"/>
      <c r="N274" s="441"/>
      <c r="O274" s="441"/>
    </row>
    <row r="275" spans="12:15">
      <c r="L275" s="441"/>
      <c r="M275" s="441"/>
      <c r="N275" s="441"/>
      <c r="O275" s="441"/>
    </row>
    <row r="276" spans="12:15">
      <c r="L276" s="441"/>
      <c r="M276" s="441"/>
      <c r="N276" s="441"/>
      <c r="O276" s="441"/>
    </row>
    <row r="277" spans="12:15">
      <c r="L277" s="441"/>
      <c r="M277" s="441"/>
      <c r="N277" s="441"/>
      <c r="O277" s="441"/>
    </row>
    <row r="278" spans="12:15">
      <c r="L278" s="441"/>
      <c r="M278" s="441"/>
      <c r="N278" s="441"/>
      <c r="O278" s="441"/>
    </row>
    <row r="279" spans="12:15">
      <c r="L279" s="441"/>
      <c r="M279" s="441"/>
      <c r="N279" s="441"/>
      <c r="O279" s="441"/>
    </row>
    <row r="280" spans="12:15">
      <c r="L280" s="441"/>
      <c r="M280" s="441"/>
      <c r="N280" s="441"/>
      <c r="O280" s="441"/>
    </row>
  </sheetData>
  <sheetProtection password="CCBC" sheet="1" objects="1" scenarios="1"/>
  <mergeCells count="81">
    <mergeCell ref="C61:E61"/>
    <mergeCell ref="G61:H61"/>
    <mergeCell ref="E17:I17"/>
    <mergeCell ref="E18:I18"/>
    <mergeCell ref="E21:G21"/>
    <mergeCell ref="C60:E60"/>
    <mergeCell ref="G60:H60"/>
    <mergeCell ref="C62:E62"/>
    <mergeCell ref="G62:H62"/>
    <mergeCell ref="C63:E63"/>
    <mergeCell ref="G63:H63"/>
    <mergeCell ref="C64:E64"/>
    <mergeCell ref="G64:H64"/>
    <mergeCell ref="C65:E65"/>
    <mergeCell ref="G65:H65"/>
    <mergeCell ref="C66:E66"/>
    <mergeCell ref="G66:H66"/>
    <mergeCell ref="C67:E67"/>
    <mergeCell ref="G67:H67"/>
    <mergeCell ref="C68:E68"/>
    <mergeCell ref="G68:H68"/>
    <mergeCell ref="C69:E69"/>
    <mergeCell ref="G69:H69"/>
    <mergeCell ref="C70:E70"/>
    <mergeCell ref="G70:H70"/>
    <mergeCell ref="D88:E88"/>
    <mergeCell ref="H88:I88"/>
    <mergeCell ref="C71:E71"/>
    <mergeCell ref="G71:H71"/>
    <mergeCell ref="C72:E72"/>
    <mergeCell ref="G72:H72"/>
    <mergeCell ref="C73:E73"/>
    <mergeCell ref="G73:H73"/>
    <mergeCell ref="C74:E74"/>
    <mergeCell ref="G74:H74"/>
    <mergeCell ref="C83:G83"/>
    <mergeCell ref="C85:G85"/>
    <mergeCell ref="C86:G86"/>
    <mergeCell ref="G131:I131"/>
    <mergeCell ref="E90:F90"/>
    <mergeCell ref="E94:I94"/>
    <mergeCell ref="C98:G98"/>
    <mergeCell ref="C100:G100"/>
    <mergeCell ref="C101:G101"/>
    <mergeCell ref="D103:E103"/>
    <mergeCell ref="H103:I103"/>
    <mergeCell ref="E105:F105"/>
    <mergeCell ref="E109:I109"/>
    <mergeCell ref="G128:I128"/>
    <mergeCell ref="G129:I129"/>
    <mergeCell ref="G130:I130"/>
    <mergeCell ref="G132:I132"/>
    <mergeCell ref="G133:I133"/>
    <mergeCell ref="E134:F134"/>
    <mergeCell ref="G134:I134"/>
    <mergeCell ref="E135:F135"/>
    <mergeCell ref="G135:I135"/>
    <mergeCell ref="G156:I156"/>
    <mergeCell ref="G157:I157"/>
    <mergeCell ref="E136:F136"/>
    <mergeCell ref="G136:I136"/>
    <mergeCell ref="E137:F137"/>
    <mergeCell ref="G137:I137"/>
    <mergeCell ref="E138:F138"/>
    <mergeCell ref="G138:I138"/>
    <mergeCell ref="B4:J4"/>
    <mergeCell ref="E162:F162"/>
    <mergeCell ref="G162:I162"/>
    <mergeCell ref="D172:E172"/>
    <mergeCell ref="E160:F160"/>
    <mergeCell ref="G160:I160"/>
    <mergeCell ref="E161:F161"/>
    <mergeCell ref="G161:I161"/>
    <mergeCell ref="E158:F158"/>
    <mergeCell ref="G158:I158"/>
    <mergeCell ref="G152:I152"/>
    <mergeCell ref="G153:I153"/>
    <mergeCell ref="E159:F159"/>
    <mergeCell ref="G159:I159"/>
    <mergeCell ref="G154:I154"/>
    <mergeCell ref="G155:I155"/>
  </mergeCells>
  <phoneticPr fontId="0" type="noConversion"/>
  <conditionalFormatting sqref="I20">
    <cfRule type="cellIs" priority="1" stopIfTrue="1" operator="between">
      <formula>1</formula>
      <formula>9999999999</formula>
    </cfRule>
  </conditionalFormatting>
  <dataValidations count="3">
    <dataValidation type="whole" allowBlank="1" showInputMessage="1" showErrorMessage="1" errorTitle="Inproper Input" error="The number must be a phone number.  Be sure to include the area code." promptTitle="Input Information:" prompt="Please input the phone number.  Use all numbers (the computer will insert parenthesis and hyphens as appropriate)." sqref="F20 I20 D103 D88 H88 H103" xr:uid="{00000000-0002-0000-0800-000000000000}">
      <formula1>1000000000</formula1>
      <formula2>9999999999</formula2>
    </dataValidation>
    <dataValidation allowBlank="1" showInputMessage="1" showErrorMessage="1" promptTitle="Input Information:" prompt="Input date in mm/dd/yyyy format." sqref="I171:K171" xr:uid="{00000000-0002-0000-0800-000001000000}"/>
    <dataValidation type="custom" allowBlank="1" showInputMessage="1" showErrorMessage="1" sqref="B195:F195 E193" xr:uid="{00000000-0002-0000-0800-000002000000}">
      <formula1>""</formula1>
    </dataValidation>
  </dataValidations>
  <pageMargins left="0.75" right="0.75" top="1" bottom="1" header="0.5" footer="0.5"/>
  <pageSetup scale="89" orientation="portrait" r:id="rId1"/>
  <headerFooter alignWithMargins="0"/>
  <rowBreaks count="3" manualBreakCount="3">
    <brk id="56" max="10" man="1"/>
    <brk id="110" max="10" man="1"/>
    <brk id="168" max="10" man="1"/>
  </rowBreaks>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39</vt:i4>
      </vt:variant>
      <vt:variant>
        <vt:lpstr>Named Ranges</vt:lpstr>
      </vt:variant>
      <vt:variant>
        <vt:i4>50</vt:i4>
      </vt:variant>
    </vt:vector>
  </HeadingPairs>
  <TitlesOfParts>
    <vt:vector size="89" baseType="lpstr">
      <vt:lpstr>Cover</vt:lpstr>
      <vt:lpstr>Primary Input</vt:lpstr>
      <vt:lpstr>Secondary Input</vt:lpstr>
      <vt:lpstr>Threshold Requirements</vt:lpstr>
      <vt:lpstr>Rental Income</vt:lpstr>
      <vt:lpstr>Rehab Construction</vt:lpstr>
      <vt:lpstr>Reserve Needs</vt:lpstr>
      <vt:lpstr>Reserve 20 Yr Schedule</vt:lpstr>
      <vt:lpstr>Syndication</vt:lpstr>
      <vt:lpstr>Loan Information</vt:lpstr>
      <vt:lpstr>Sources&amp;Uses</vt:lpstr>
      <vt:lpstr>Financing Cert</vt:lpstr>
      <vt:lpstr>Amortization</vt:lpstr>
      <vt:lpstr>Pro Forma Calculation</vt:lpstr>
      <vt:lpstr>Pro Forma</vt:lpstr>
      <vt:lpstr>Building Information</vt:lpstr>
      <vt:lpstr>Basis Calculation</vt:lpstr>
      <vt:lpstr>Project Schedule</vt:lpstr>
      <vt:lpstr>Development Team</vt:lpstr>
      <vt:lpstr>Selection Criteria</vt:lpstr>
      <vt:lpstr>Auditor</vt:lpstr>
      <vt:lpstr>Checklist</vt:lpstr>
      <vt:lpstr>Certification</vt:lpstr>
      <vt:lpstr>Appendix 1</vt:lpstr>
      <vt:lpstr>Appendix 2</vt:lpstr>
      <vt:lpstr>Appendix 3</vt:lpstr>
      <vt:lpstr>Appendix 4</vt:lpstr>
      <vt:lpstr>Appendix 11</vt:lpstr>
      <vt:lpstr>Appendix 13</vt:lpstr>
      <vt:lpstr>Appendix 33</vt:lpstr>
      <vt:lpstr>Appendix 40</vt:lpstr>
      <vt:lpstr>Appendix 41</vt:lpstr>
      <vt:lpstr>Appendix 42</vt:lpstr>
      <vt:lpstr>DemandCert</vt:lpstr>
      <vt:lpstr>CEO Notification</vt:lpstr>
      <vt:lpstr>Developer Experience</vt:lpstr>
      <vt:lpstr>Management Experience</vt:lpstr>
      <vt:lpstr>5020</vt:lpstr>
      <vt:lpstr>4060</vt:lpstr>
      <vt:lpstr>census</vt:lpstr>
      <vt:lpstr>character</vt:lpstr>
      <vt:lpstr>credits</vt:lpstr>
      <vt:lpstr>intermediary_cos</vt:lpstr>
      <vt:lpstr>Name</vt:lpstr>
      <vt:lpstr>nonprofit_description</vt:lpstr>
      <vt:lpstr>parish</vt:lpstr>
      <vt:lpstr>points</vt:lpstr>
      <vt:lpstr>Amortization!Print_Area</vt:lpstr>
      <vt:lpstr>'Appendix 1'!Print_Area</vt:lpstr>
      <vt:lpstr>'Appendix 11'!Print_Area</vt:lpstr>
      <vt:lpstr>'Appendix 2'!Print_Area</vt:lpstr>
      <vt:lpstr>'Appendix 3'!Print_Area</vt:lpstr>
      <vt:lpstr>'Appendix 4'!Print_Area</vt:lpstr>
      <vt:lpstr>'Appendix 40'!Print_Area</vt:lpstr>
      <vt:lpstr>'Appendix 41'!Print_Area</vt:lpstr>
      <vt:lpstr>Auditor!Print_Area</vt:lpstr>
      <vt:lpstr>'Basis Calculation'!Print_Area</vt:lpstr>
      <vt:lpstr>'Building Information'!Print_Area</vt:lpstr>
      <vt:lpstr>Cover!Print_Area</vt:lpstr>
      <vt:lpstr>DemandCert!Print_Area</vt:lpstr>
      <vt:lpstr>'Developer Experience'!Print_Area</vt:lpstr>
      <vt:lpstr>'Financing Cert'!Print_Area</vt:lpstr>
      <vt:lpstr>'Loan Information'!Print_Area</vt:lpstr>
      <vt:lpstr>'Management Experience'!Print_Area</vt:lpstr>
      <vt:lpstr>'Primary Input'!Print_Area</vt:lpstr>
      <vt:lpstr>'Pro Forma'!Print_Area</vt:lpstr>
      <vt:lpstr>'Project Schedule'!Print_Area</vt:lpstr>
      <vt:lpstr>'Rental Income'!Print_Area</vt:lpstr>
      <vt:lpstr>'Secondary Input'!Print_Area</vt:lpstr>
      <vt:lpstr>'Selection Criteria'!Print_Area</vt:lpstr>
      <vt:lpstr>'Sources&amp;Uses'!Print_Area</vt:lpstr>
      <vt:lpstr>Syndication!Print_Area</vt:lpstr>
      <vt:lpstr>'Threshold Requirements'!Print_Area</vt:lpstr>
      <vt:lpstr>Checklist!Print_Titles</vt:lpstr>
      <vt:lpstr>'Developer Experience'!Print_Titles</vt:lpstr>
      <vt:lpstr>'Development Team'!Print_Titles</vt:lpstr>
      <vt:lpstr>'Management Experience'!Print_Titles</vt:lpstr>
      <vt:lpstr>setaside</vt:lpstr>
      <vt:lpstr>syn_Id</vt:lpstr>
      <vt:lpstr>syn_Ie</vt:lpstr>
      <vt:lpstr>syn_If</vt:lpstr>
      <vt:lpstr>syn_Ig</vt:lpstr>
      <vt:lpstr>syn_Ij</vt:lpstr>
      <vt:lpstr>syn_private_offer</vt:lpstr>
      <vt:lpstr>syn_public_offer</vt:lpstr>
      <vt:lpstr>syn_VII_netequity</vt:lpstr>
      <vt:lpstr>tdcfoot</vt:lpstr>
      <vt:lpstr>tdcsfoot</vt:lpstr>
      <vt:lpstr>tdcunit</vt:lpstr>
    </vt:vector>
  </TitlesOfParts>
  <Company>Foley and Judell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Parkin</dc:creator>
  <cp:lastModifiedBy>Na'Tisha Natt</cp:lastModifiedBy>
  <cp:lastPrinted>2013-06-19T15:08:55Z</cp:lastPrinted>
  <dcterms:created xsi:type="dcterms:W3CDTF">2005-01-24T21:37:24Z</dcterms:created>
  <dcterms:modified xsi:type="dcterms:W3CDTF">2018-10-10T19:07:44Z</dcterms:modified>
</cp:coreProperties>
</file>